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mc:AlternateContent xmlns:mc="http://schemas.openxmlformats.org/markup-compatibility/2006">
    <mc:Choice Requires="x15">
      <x15ac:absPath xmlns:x15ac="http://schemas.microsoft.com/office/spreadsheetml/2010/11/ac" url="https://eea1.sharepoint.com/teams/SecretariattotheAdvisoryBoard/Shared Documents/3. Projects/2024_2 TEN-E scenarios (ongoing)/05 Communication/270624 Publication/"/>
    </mc:Choice>
  </mc:AlternateContent>
  <xr:revisionPtr revIDLastSave="0" documentId="8_{C455ABE1-D3E4-4ABD-A552-545A8B873F45}" xr6:coauthVersionLast="47" xr6:coauthVersionMax="47" xr10:uidLastSave="{00000000-0000-0000-0000-000000000000}"/>
  <bookViews>
    <workbookView xWindow="-108" yWindow="-108" windowWidth="41496" windowHeight="16896" xr2:uid="{41B4F8CF-E6C0-4E56-88C1-F043D7E73FEC}"/>
  </bookViews>
  <sheets>
    <sheet name="Cover" sheetId="26" r:id="rId1"/>
    <sheet name="Main Benchmarking table" sheetId="6" r:id="rId2"/>
    <sheet name="Graphs" sheetId="16" r:id="rId3"/>
    <sheet name="Primary Energy" sheetId="7" r:id="rId4"/>
    <sheet name="FED" sheetId="2" r:id="rId5"/>
    <sheet name="FEC" sheetId="17" r:id="rId6"/>
    <sheet name="Emissions and GHG budget" sheetId="20" r:id="rId7"/>
    <sheet name="Carbon capture" sheetId="19" r:id="rId8"/>
    <sheet name="Power Capacity" sheetId="4" r:id="rId9"/>
    <sheet name="H2 demand &amp; supply" sheetId="24" r:id="rId10"/>
    <sheet name="Electrolysis capacity" sheetId="11" r:id="rId11"/>
  </sheets>
  <externalReferences>
    <externalReference r:id="rId12"/>
  </externalReferences>
  <definedNames>
    <definedName name="_" localSheetId="9">#REF!</definedName>
    <definedName name="_" localSheetId="8">#REF!</definedName>
    <definedName name="_">#REF!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chart.v1.0" hidden="1">Graphs!$B$75:$B$82</definedName>
    <definedName name="_xlchart.v1.1" hidden="1">Graphs!$D$75:$D$82</definedName>
    <definedName name="_xlchart.v1.2" hidden="1">Graphs!$B$75:$B$82</definedName>
    <definedName name="_xlchart.v1.3" hidden="1">Graphs!$C$75:$C$82</definedName>
    <definedName name="a" localSheetId="8">#REF!</definedName>
    <definedName name="a">#REF!</definedName>
    <definedName name="a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ll_TP" localSheetId="10">#REF!,#REF!,#REF!</definedName>
    <definedName name="All_TP" localSheetId="8">#REF!,#REF!,#REF!</definedName>
    <definedName name="All_TP" localSheetId="3">#REF!,#REF!,#REF!</definedName>
    <definedName name="All_TP">#REF!,#REF!,#REF!</definedName>
    <definedName name="All_US" localSheetId="8">#REF!,#REF!,#REF!</definedName>
    <definedName name="All_US">#REF!,#REF!,#REF!</definedName>
    <definedName name="asdf" localSheetId="10">#REF!</definedName>
    <definedName name="asdf" localSheetId="8">#REF!</definedName>
    <definedName name="asdf" localSheetId="3">#REF!</definedName>
    <definedName name="asdf">#REF!</definedName>
    <definedName name="bb"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iomass_Rate" localSheetId="10">#REF!</definedName>
    <definedName name="Biomass_Rate" localSheetId="8">#REF!</definedName>
    <definedName name="Biomass_Rate" localSheetId="3">#REF!</definedName>
    <definedName name="Biomass_Rate">#REF!</definedName>
    <definedName name="body0fa" localSheetId="8">#REF!</definedName>
    <definedName name="body0fa">#REF!</definedName>
    <definedName name="body1ea" localSheetId="8">#REF!</definedName>
    <definedName name="body1ea">#REF!</definedName>
    <definedName name="body1eb" localSheetId="8">#REF!</definedName>
    <definedName name="body1eb">#REF!</definedName>
    <definedName name="body1fa" localSheetId="8">#REF!</definedName>
    <definedName name="body1fa">#REF!</definedName>
    <definedName name="body1fb" localSheetId="8">#REF!</definedName>
    <definedName name="body1fb">#REF!</definedName>
    <definedName name="body1ga" localSheetId="8">#REF!</definedName>
    <definedName name="body1ga">#REF!</definedName>
    <definedName name="body1gb" localSheetId="8">#REF!</definedName>
    <definedName name="body1gb">#REF!</definedName>
    <definedName name="body2ea" localSheetId="8">#REF!</definedName>
    <definedName name="body2ea">#REF!</definedName>
    <definedName name="body2eb" localSheetId="8">#REF!</definedName>
    <definedName name="body2eb">#REF!</definedName>
    <definedName name="body2f" localSheetId="8">#REF!</definedName>
    <definedName name="body2f">#REF!</definedName>
    <definedName name="body2fa" localSheetId="8">#REF!</definedName>
    <definedName name="body2fa">#REF!</definedName>
    <definedName name="body2fb" localSheetId="8">#REF!</definedName>
    <definedName name="body2fb">#REF!</definedName>
    <definedName name="body2ga" localSheetId="8">#REF!</definedName>
    <definedName name="body2ga">#REF!</definedName>
    <definedName name="body2gb" localSheetId="8">#REF!</definedName>
    <definedName name="body2gb">#REF!</definedName>
    <definedName name="body3ea" localSheetId="8">#REF!</definedName>
    <definedName name="body3ea">#REF!</definedName>
    <definedName name="body3eb" localSheetId="8">#REF!</definedName>
    <definedName name="body3eb">#REF!</definedName>
    <definedName name="body3fa" localSheetId="8">#REF!</definedName>
    <definedName name="body3fa">#REF!</definedName>
    <definedName name="body3fb" localSheetId="8">#REF!</definedName>
    <definedName name="body3fb">#REF!</definedName>
    <definedName name="body3ga" localSheetId="8">#REF!</definedName>
    <definedName name="body3ga">#REF!</definedName>
    <definedName name="body3gb" localSheetId="8">#REF!</definedName>
    <definedName name="body3gb">#REF!</definedName>
    <definedName name="body4ea" localSheetId="8">#REF!</definedName>
    <definedName name="body4ea">#REF!</definedName>
    <definedName name="body4eb" localSheetId="8">#REF!</definedName>
    <definedName name="body4eb">#REF!</definedName>
    <definedName name="body4f" localSheetId="8">#REF!</definedName>
    <definedName name="body4f">#REF!</definedName>
    <definedName name="body4fa" localSheetId="8">#REF!</definedName>
    <definedName name="body4fa">#REF!</definedName>
    <definedName name="body4fb" localSheetId="8">#REF!</definedName>
    <definedName name="body4fb">#REF!</definedName>
    <definedName name="body4ga" localSheetId="8">#REF!</definedName>
    <definedName name="body4ga">#REF!</definedName>
    <definedName name="body4gb" localSheetId="8">#REF!</definedName>
    <definedName name="body4gb">#REF!</definedName>
    <definedName name="Capacity_factor_Solar" localSheetId="8">#REF!</definedName>
    <definedName name="Capacity_factor_Solar">#REF!</definedName>
    <definedName name="Capacity_factor_Wind" localSheetId="8">#REF!</definedName>
    <definedName name="Capacity_factor_Wind">#REF!</definedName>
    <definedName name="Country_Code">LEFT(#REF!,2)</definedName>
    <definedName name="countrye" localSheetId="8">#REF!</definedName>
    <definedName name="countrye">#REF!</definedName>
    <definedName name="countryf" localSheetId="8">#REF!</definedName>
    <definedName name="countryf">#REF!</definedName>
    <definedName name="countryg" localSheetId="8">#REF!</definedName>
    <definedName name="countryg">#REF!</definedName>
    <definedName name="CRF_CountryName">#REF!</definedName>
    <definedName name="Eff_P2CH4" localSheetId="9">#REF!</definedName>
    <definedName name="Eff_P2CH4" localSheetId="8">#REF!</definedName>
    <definedName name="Eff_P2CH4">#REF!</definedName>
    <definedName name="Eff_P2CH4_2040">#REF!</definedName>
    <definedName name="Eff_P2H2" localSheetId="8">#REF!</definedName>
    <definedName name="Eff_P2H2">#REF!</definedName>
    <definedName name="Eff_P2L" localSheetId="8">#REF!</definedName>
    <definedName name="Eff_P2L">#REF!</definedName>
    <definedName name="env_risk">#REF!</definedName>
    <definedName name="Gas_Emission_Rate" localSheetId="10">#REF!</definedName>
    <definedName name="Gas_Emission_Rate" localSheetId="8">#REF!</definedName>
    <definedName name="Gas_Emission_Rate" localSheetId="3">#REF!</definedName>
    <definedName name="Gas_Emission_Rate">#REF!</definedName>
    <definedName name="Green_Gas_Emissions_Rate" localSheetId="8">#REF!</definedName>
    <definedName name="Green_Gas_Emissions_Rate">#REF!</definedName>
    <definedName name="Hydro_Emissions" localSheetId="8">#REF!</definedName>
    <definedName name="Hydro_Emissions">#REF!</definedName>
    <definedName name="kToe_to_TWh" localSheetId="8">#REF!</definedName>
    <definedName name="kToe_to_TWh">#REF!</definedName>
    <definedName name="List_Countries">#REF!</definedName>
    <definedName name="List_CountriesISO">#REF!</definedName>
    <definedName name="Nuclear_Emissions_Rate" localSheetId="8">#REF!</definedName>
    <definedName name="Nuclear_Emissions_Rate">#REF!</definedName>
    <definedName name="Oil_Emission_Rate" localSheetId="8">#REF!</definedName>
    <definedName name="Oil_Emission_Rate">#REF!</definedName>
    <definedName name="OtherRes_Emissions_Rate" localSheetId="8">#REF!</definedName>
    <definedName name="OtherRes_Emissions_Rate">#REF!</definedName>
    <definedName name="P2G_Conversion_Rate" localSheetId="8">#REF!</definedName>
    <definedName name="P2G_Conversion_Rate">#REF!</definedName>
    <definedName name="RetBE" localSheetId="8">#REF!</definedName>
    <definedName name="RetB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olar_Emissions_Rate" localSheetId="8">#REF!</definedName>
    <definedName name="Solar_Emissions_Rate">#REF!</definedName>
    <definedName name="Solar_for_P2G" localSheetId="8">#REF!</definedName>
    <definedName name="Solar_for_P2G">#REF!</definedName>
    <definedName name="Solid_Emission_Rate" localSheetId="8">#REF!</definedName>
    <definedName name="Solid_Emission_Rate">#REF!</definedName>
    <definedName name="TP.Electricity_and_RES" localSheetId="8">#REF!</definedName>
    <definedName name="TP.Electricity_and_RES">#REF!</definedName>
    <definedName name="TP.Petroleum" localSheetId="8">#REF!</definedName>
    <definedName name="TP.Petroleum">#REF!</definedName>
    <definedName name="TP.Solids_and_Gases" localSheetId="8">#REF!</definedName>
    <definedName name="TP.Solids_and_Gases">#REF!</definedName>
    <definedName name="US.Electricity_and_RES" localSheetId="8">#REF!</definedName>
    <definedName name="US.Electricity_and_RES">#REF!</definedName>
    <definedName name="US.Petroleum" localSheetId="8">#REF!</definedName>
    <definedName name="US.Petroleum">#REF!</definedName>
    <definedName name="US.Solids_and_Gases" localSheetId="8">#REF!</definedName>
    <definedName name="US.Solids_and_Gases">#REF!</definedName>
    <definedName name="v" localSheetId="8">#REF!</definedName>
    <definedName name="v">#REF!</definedName>
    <definedName name="Wind_Emissions_Rate" localSheetId="8">#REF!</definedName>
    <definedName name="Wind_Emissions_Rate">#REF!</definedName>
    <definedName name="Wind_for_P2G" localSheetId="8">#REF!</definedName>
    <definedName name="Wind_for_P2G">#REF!</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xxx"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yeare" localSheetId="10">#REF!</definedName>
    <definedName name="yeare" localSheetId="8">#REF!</definedName>
    <definedName name="yeare" localSheetId="3">#REF!</definedName>
    <definedName name="yeare">#REF!</definedName>
    <definedName name="yearf" localSheetId="8">#REF!</definedName>
    <definedName name="yearf">#REF!</definedName>
    <definedName name="yearg" localSheetId="8">#REF!</definedName>
    <definedName name="yea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6" l="1"/>
  <c r="H38" i="6"/>
  <c r="I37" i="6"/>
  <c r="T58" i="6"/>
  <c r="S58" i="6"/>
  <c r="S57" i="6"/>
  <c r="N58" i="6"/>
  <c r="M58" i="6"/>
  <c r="L58" i="6"/>
  <c r="M14" i="6" l="1"/>
  <c r="J14" i="6"/>
  <c r="N30" i="6"/>
  <c r="G40" i="16"/>
  <c r="E59" i="24"/>
  <c r="F69" i="24"/>
  <c r="E69" i="24"/>
  <c r="D69" i="24"/>
  <c r="G13" i="6"/>
  <c r="L92" i="24"/>
  <c r="L122" i="24"/>
  <c r="M122" i="24" s="1"/>
  <c r="O122" i="24"/>
  <c r="L123" i="24"/>
  <c r="M123" i="24" s="1"/>
  <c r="O123" i="24"/>
  <c r="L124" i="24"/>
  <c r="M124" i="24" s="1"/>
  <c r="O124" i="24"/>
  <c r="L125" i="24"/>
  <c r="M125" i="24" s="1"/>
  <c r="O125" i="24"/>
  <c r="L126" i="24"/>
  <c r="M126" i="24" s="1"/>
  <c r="O126" i="24"/>
  <c r="L127" i="24"/>
  <c r="M127" i="24" s="1"/>
  <c r="O127" i="24"/>
  <c r="L128" i="24"/>
  <c r="M128" i="24" s="1"/>
  <c r="O128" i="24"/>
  <c r="L129" i="24"/>
  <c r="M129" i="24" s="1"/>
  <c r="O129" i="24"/>
  <c r="D116" i="24"/>
  <c r="D117" i="24" s="1"/>
  <c r="E116" i="24"/>
  <c r="E117" i="24" s="1"/>
  <c r="F116" i="24"/>
  <c r="F117" i="24" s="1"/>
  <c r="D68" i="24"/>
  <c r="E65" i="24"/>
  <c r="E66" i="24"/>
  <c r="D64" i="24"/>
  <c r="E56" i="24"/>
  <c r="F56" i="24"/>
  <c r="G56" i="24"/>
  <c r="H56" i="24"/>
  <c r="I56" i="24"/>
  <c r="J56" i="24"/>
  <c r="E57" i="24"/>
  <c r="F57" i="24"/>
  <c r="G57" i="24"/>
  <c r="H57" i="24"/>
  <c r="I57" i="24"/>
  <c r="J57" i="24"/>
  <c r="E58" i="24"/>
  <c r="F58" i="24"/>
  <c r="G58" i="24"/>
  <c r="H58" i="24"/>
  <c r="I58" i="24"/>
  <c r="J58" i="24"/>
  <c r="D59" i="24"/>
  <c r="F59" i="24"/>
  <c r="G59" i="24"/>
  <c r="H59" i="24"/>
  <c r="I59" i="24"/>
  <c r="J59" i="24"/>
  <c r="E64" i="24"/>
  <c r="F64" i="24"/>
  <c r="G64" i="24"/>
  <c r="H64" i="24"/>
  <c r="I64" i="24"/>
  <c r="J64" i="24"/>
  <c r="D65" i="24"/>
  <c r="F65" i="24"/>
  <c r="G65" i="24"/>
  <c r="H65" i="24"/>
  <c r="I65" i="24"/>
  <c r="J65" i="24"/>
  <c r="D66" i="24"/>
  <c r="F66" i="24"/>
  <c r="G66" i="24"/>
  <c r="H66" i="24"/>
  <c r="I66" i="24"/>
  <c r="J66" i="24"/>
  <c r="E68" i="24"/>
  <c r="F68" i="24"/>
  <c r="G68" i="24"/>
  <c r="H68" i="24"/>
  <c r="I68" i="24"/>
  <c r="J68" i="24"/>
  <c r="G69" i="24"/>
  <c r="H69" i="24"/>
  <c r="I69" i="24"/>
  <c r="J69" i="24"/>
  <c r="F66" i="19"/>
  <c r="F67" i="19"/>
  <c r="C68" i="19"/>
  <c r="D68" i="19"/>
  <c r="E68" i="19"/>
  <c r="F69" i="19"/>
  <c r="C70" i="19"/>
  <c r="D70" i="19"/>
  <c r="E70" i="19"/>
  <c r="B24" i="19"/>
  <c r="C24" i="19"/>
  <c r="B13" i="19"/>
  <c r="M58" i="20"/>
  <c r="M29" i="20"/>
  <c r="O21" i="7"/>
  <c r="P21" i="7"/>
  <c r="Q21" i="7"/>
  <c r="R21" i="7"/>
  <c r="S21" i="7"/>
  <c r="T21" i="7"/>
  <c r="U21" i="7"/>
  <c r="U27" i="7"/>
  <c r="T27" i="7"/>
  <c r="S27" i="7"/>
  <c r="R27" i="7"/>
  <c r="Q27" i="7"/>
  <c r="P27" i="7"/>
  <c r="O27" i="7"/>
  <c r="U26" i="7"/>
  <c r="T26" i="7"/>
  <c r="S26" i="7"/>
  <c r="R26" i="7"/>
  <c r="Q26" i="7"/>
  <c r="P26" i="7"/>
  <c r="O26" i="7"/>
  <c r="U25" i="7"/>
  <c r="T25" i="7"/>
  <c r="S25" i="7"/>
  <c r="R25" i="7"/>
  <c r="Q25" i="7"/>
  <c r="P25" i="7"/>
  <c r="O25" i="7"/>
  <c r="U24" i="7"/>
  <c r="T24" i="7"/>
  <c r="S24" i="7"/>
  <c r="R24" i="7"/>
  <c r="Q24" i="7"/>
  <c r="P24" i="7"/>
  <c r="O24" i="7"/>
  <c r="C27" i="7"/>
  <c r="G61" i="24" l="1"/>
  <c r="E60" i="24"/>
  <c r="I62" i="24"/>
  <c r="F62" i="24"/>
  <c r="J60" i="24"/>
  <c r="G62" i="24"/>
  <c r="J61" i="24"/>
  <c r="H60" i="24"/>
  <c r="G60" i="24"/>
  <c r="J62" i="24"/>
  <c r="H61" i="24"/>
  <c r="H62" i="24"/>
  <c r="F60" i="24"/>
  <c r="E61" i="24"/>
  <c r="F61" i="24"/>
  <c r="E62" i="24"/>
  <c r="I60" i="24"/>
  <c r="I61" i="24"/>
  <c r="P8" i="7" l="1"/>
  <c r="Q8" i="7"/>
  <c r="R8" i="7"/>
  <c r="S8" i="7"/>
  <c r="T8" i="7"/>
  <c r="U8" i="7"/>
  <c r="U22" i="7" s="1"/>
  <c r="P9" i="7"/>
  <c r="P22" i="7" s="1"/>
  <c r="Q9" i="7"/>
  <c r="R9" i="7"/>
  <c r="S9" i="7"/>
  <c r="T9" i="7"/>
  <c r="U9" i="7"/>
  <c r="P10" i="7"/>
  <c r="Q10" i="7"/>
  <c r="R10" i="7"/>
  <c r="S10" i="7"/>
  <c r="S22" i="7" s="1"/>
  <c r="T10" i="7"/>
  <c r="U10" i="7"/>
  <c r="P11" i="7"/>
  <c r="Q11" i="7"/>
  <c r="R11" i="7"/>
  <c r="S11" i="7"/>
  <c r="T11" i="7"/>
  <c r="T22" i="7" s="1"/>
  <c r="U11" i="7"/>
  <c r="P12" i="7"/>
  <c r="Q12" i="7"/>
  <c r="R12" i="7"/>
  <c r="S12" i="7"/>
  <c r="T12" i="7"/>
  <c r="U12" i="7"/>
  <c r="P13" i="7"/>
  <c r="Q13" i="7"/>
  <c r="R13" i="7"/>
  <c r="S13" i="7"/>
  <c r="T13" i="7"/>
  <c r="U13" i="7"/>
  <c r="P14" i="7"/>
  <c r="Q14" i="7"/>
  <c r="R14" i="7"/>
  <c r="S14" i="7"/>
  <c r="T14" i="7"/>
  <c r="U14" i="7"/>
  <c r="P15" i="7"/>
  <c r="Q15" i="7"/>
  <c r="R15" i="7"/>
  <c r="S15" i="7"/>
  <c r="T15" i="7"/>
  <c r="U15" i="7"/>
  <c r="P16" i="7"/>
  <c r="Q16" i="7"/>
  <c r="R16" i="7"/>
  <c r="S16" i="7"/>
  <c r="T16" i="7"/>
  <c r="U16" i="7"/>
  <c r="P17" i="7"/>
  <c r="Q17" i="7"/>
  <c r="R17" i="7"/>
  <c r="S17" i="7"/>
  <c r="T17" i="7"/>
  <c r="U17" i="7"/>
  <c r="P18" i="7"/>
  <c r="Q18" i="7"/>
  <c r="R18" i="7"/>
  <c r="S18" i="7"/>
  <c r="T18" i="7"/>
  <c r="U18" i="7"/>
  <c r="P19" i="7"/>
  <c r="Q19" i="7"/>
  <c r="R19" i="7"/>
  <c r="S19" i="7"/>
  <c r="T19" i="7"/>
  <c r="U19" i="7"/>
  <c r="P20" i="7"/>
  <c r="Q20" i="7"/>
  <c r="R20" i="7"/>
  <c r="S20" i="7"/>
  <c r="T20" i="7"/>
  <c r="U20" i="7"/>
  <c r="O9" i="7"/>
  <c r="O10" i="7"/>
  <c r="O11" i="7"/>
  <c r="O12" i="7"/>
  <c r="O13" i="7"/>
  <c r="O14" i="7"/>
  <c r="O15" i="7"/>
  <c r="O16" i="7"/>
  <c r="O17" i="7"/>
  <c r="O18" i="7"/>
  <c r="O19" i="7"/>
  <c r="O20" i="7"/>
  <c r="O8" i="7"/>
  <c r="R22" i="7"/>
  <c r="Q22" i="7"/>
  <c r="O22" i="7"/>
  <c r="S105" i="7"/>
  <c r="X107" i="7"/>
  <c r="E32" i="6"/>
  <c r="T105" i="7"/>
  <c r="E24" i="6"/>
  <c r="H98" i="7"/>
  <c r="H97" i="7"/>
  <c r="H95" i="7"/>
  <c r="H94" i="7"/>
  <c r="H92" i="7"/>
  <c r="H91" i="7"/>
  <c r="H89" i="7"/>
  <c r="H88" i="7"/>
  <c r="F24" i="6"/>
  <c r="L40" i="6" l="1"/>
  <c r="H40" i="6"/>
  <c r="G25" i="19"/>
  <c r="F25" i="19"/>
  <c r="F24" i="19"/>
  <c r="E25" i="19"/>
  <c r="E24" i="19"/>
  <c r="D25" i="19"/>
  <c r="D24" i="19"/>
  <c r="C25" i="19"/>
  <c r="B25" i="19"/>
  <c r="G24" i="19"/>
  <c r="H42" i="6" l="1"/>
  <c r="I17" i="2"/>
  <c r="H17" i="2"/>
  <c r="G17" i="2"/>
  <c r="F17" i="2"/>
  <c r="E17" i="2"/>
  <c r="E18" i="2" s="1"/>
  <c r="D17" i="2"/>
  <c r="D24" i="2"/>
  <c r="V57" i="6"/>
  <c r="O57" i="6"/>
  <c r="I53" i="2"/>
  <c r="H53" i="2"/>
  <c r="D53" i="2"/>
  <c r="C53" i="2"/>
  <c r="G52" i="2"/>
  <c r="C52" i="2"/>
  <c r="G53" i="2"/>
  <c r="P57" i="6" s="1"/>
  <c r="F53" i="2"/>
  <c r="E53" i="2"/>
  <c r="J57" i="6" s="1"/>
  <c r="I52" i="2"/>
  <c r="U57" i="6" s="1"/>
  <c r="H52" i="2"/>
  <c r="F52" i="2"/>
  <c r="E52" i="2"/>
  <c r="I57" i="6" s="1"/>
  <c r="D52" i="2"/>
  <c r="AG52" i="20" l="1"/>
  <c r="W52" i="20"/>
  <c r="M52" i="20"/>
  <c r="AG51" i="20"/>
  <c r="W51" i="20"/>
  <c r="X51" i="20" s="1"/>
  <c r="Y51" i="20" s="1"/>
  <c r="Z51" i="20" s="1"/>
  <c r="AA51" i="20" s="1"/>
  <c r="AB51" i="20" s="1"/>
  <c r="AC51" i="20" s="1"/>
  <c r="AD51" i="20" s="1"/>
  <c r="AE51" i="20" s="1"/>
  <c r="AF51" i="20" s="1"/>
  <c r="M51" i="20"/>
  <c r="N51" i="20" l="1"/>
  <c r="O51" i="20" s="1"/>
  <c r="P51" i="20" s="1"/>
  <c r="Q51" i="20" s="1"/>
  <c r="R51" i="20" s="1"/>
  <c r="S51" i="20" s="1"/>
  <c r="T51" i="20" s="1"/>
  <c r="U51" i="20" s="1"/>
  <c r="V51" i="20" s="1"/>
  <c r="X52" i="20"/>
  <c r="Y52" i="20" s="1"/>
  <c r="Z52" i="20" s="1"/>
  <c r="AA52" i="20" s="1"/>
  <c r="AB52" i="20" s="1"/>
  <c r="AC52" i="20" s="1"/>
  <c r="AD52" i="20" s="1"/>
  <c r="AE52" i="20" s="1"/>
  <c r="AF52" i="20" s="1"/>
  <c r="N52" i="20"/>
  <c r="O52" i="20" s="1"/>
  <c r="P52" i="20" s="1"/>
  <c r="Q52" i="20" s="1"/>
  <c r="R52" i="20" s="1"/>
  <c r="S52" i="20" s="1"/>
  <c r="T52" i="20" s="1"/>
  <c r="U52" i="20" s="1"/>
  <c r="V52" i="20" s="1"/>
  <c r="AH51" i="20" l="1"/>
  <c r="AH52" i="20"/>
  <c r="M42" i="20"/>
  <c r="M49" i="20" l="1"/>
  <c r="E13" i="19"/>
  <c r="D13" i="19"/>
  <c r="C13" i="19"/>
  <c r="H66" i="19" l="1"/>
  <c r="H67" i="19" s="1"/>
  <c r="G66" i="19"/>
  <c r="G67" i="19" s="1"/>
  <c r="G69" i="19"/>
  <c r="H69" i="19"/>
  <c r="C76" i="16"/>
  <c r="C77" i="16"/>
  <c r="C78" i="16"/>
  <c r="C75" i="16"/>
  <c r="D76" i="16"/>
  <c r="D77" i="16"/>
  <c r="D78" i="16"/>
  <c r="D75" i="16"/>
  <c r="D79" i="16" l="1"/>
  <c r="C79" i="16"/>
  <c r="T106" i="7"/>
  <c r="G19" i="17" l="1"/>
  <c r="K13" i="6" s="1"/>
  <c r="E56" i="16" s="1"/>
  <c r="J7" i="2"/>
  <c r="J9" i="2"/>
  <c r="J8" i="2"/>
  <c r="J13" i="2"/>
  <c r="F6" i="11" l="1"/>
  <c r="E25" i="2"/>
  <c r="L57" i="6" s="1"/>
  <c r="F25" i="2"/>
  <c r="M57" i="6" s="1"/>
  <c r="G25" i="2"/>
  <c r="H25" i="2"/>
  <c r="N57" i="6" s="1"/>
  <c r="I25" i="2"/>
  <c r="T57" i="6" s="1"/>
  <c r="C25" i="2"/>
  <c r="W44" i="6" l="1"/>
  <c r="D25" i="2"/>
  <c r="H57" i="6" s="1"/>
  <c r="H58" i="6" s="1"/>
  <c r="H44" i="6" l="1"/>
  <c r="Z150" i="24"/>
  <c r="Y150" i="24"/>
  <c r="X150" i="24"/>
  <c r="S150" i="24"/>
  <c r="R150" i="24"/>
  <c r="Q150" i="24"/>
  <c r="L150" i="24"/>
  <c r="K150" i="24"/>
  <c r="J150" i="24"/>
  <c r="E150" i="24"/>
  <c r="D150" i="24"/>
  <c r="C150" i="24"/>
  <c r="Z149" i="24"/>
  <c r="Y149" i="24"/>
  <c r="X149" i="24"/>
  <c r="S149" i="24"/>
  <c r="R149" i="24"/>
  <c r="Q149" i="24"/>
  <c r="L149" i="24"/>
  <c r="K149" i="24"/>
  <c r="J149" i="24"/>
  <c r="E149" i="24"/>
  <c r="D149" i="24"/>
  <c r="C149" i="24"/>
  <c r="S140" i="24"/>
  <c r="R140" i="24"/>
  <c r="Q140" i="24"/>
  <c r="L140" i="24"/>
  <c r="V54" i="6" s="1"/>
  <c r="C51" i="16" s="1"/>
  <c r="K140" i="24"/>
  <c r="P54" i="6" s="1"/>
  <c r="C47" i="16" s="1"/>
  <c r="J140" i="24"/>
  <c r="J54" i="6" s="1"/>
  <c r="C42" i="16" s="1"/>
  <c r="E140" i="24"/>
  <c r="V44" i="6" s="1"/>
  <c r="G51" i="16" s="1"/>
  <c r="D140" i="24"/>
  <c r="P44" i="6" s="1"/>
  <c r="C140" i="24"/>
  <c r="J44" i="6" s="1"/>
  <c r="S139" i="24"/>
  <c r="R139" i="24"/>
  <c r="Q139" i="24"/>
  <c r="L139" i="24"/>
  <c r="U54" i="6" s="1"/>
  <c r="K139" i="24"/>
  <c r="O54" i="6" s="1"/>
  <c r="J139" i="24"/>
  <c r="I54" i="6" s="1"/>
  <c r="E139" i="24"/>
  <c r="U44" i="6" s="1"/>
  <c r="D139" i="24"/>
  <c r="O44" i="6" s="1"/>
  <c r="C139" i="24"/>
  <c r="I44" i="6" s="1"/>
  <c r="Q77" i="24"/>
  <c r="Q78" i="24"/>
  <c r="Q80" i="24"/>
  <c r="Q82" i="24"/>
  <c r="Q83" i="24"/>
  <c r="Q84" i="24"/>
  <c r="Q85" i="24"/>
  <c r="G42" i="16" l="1"/>
  <c r="G47" i="16"/>
  <c r="W58" i="20"/>
  <c r="W34" i="20" s="1"/>
  <c r="W45" i="20" s="1"/>
  <c r="AG58" i="20"/>
  <c r="AG34" i="20" s="1"/>
  <c r="AG45" i="20" s="1"/>
  <c r="M34" i="20"/>
  <c r="X57" i="20"/>
  <c r="Y57" i="20" s="1"/>
  <c r="Z57" i="20" s="1"/>
  <c r="AA57" i="20" s="1"/>
  <c r="AB57" i="20" s="1"/>
  <c r="AC57" i="20" s="1"/>
  <c r="AD57" i="20" s="1"/>
  <c r="X56" i="20"/>
  <c r="Y56" i="20" s="1"/>
  <c r="N57" i="20"/>
  <c r="O57" i="20" s="1"/>
  <c r="P57" i="20" s="1"/>
  <c r="Q57" i="20" s="1"/>
  <c r="R57" i="20" s="1"/>
  <c r="S57" i="20" s="1"/>
  <c r="T57" i="20" s="1"/>
  <c r="U57" i="20" s="1"/>
  <c r="V57" i="20" s="1"/>
  <c r="N56" i="20"/>
  <c r="O56" i="20" s="1"/>
  <c r="P56" i="20" s="1"/>
  <c r="Q56" i="20" s="1"/>
  <c r="R56" i="20" s="1"/>
  <c r="S56" i="20" s="1"/>
  <c r="T56" i="20" s="1"/>
  <c r="U56" i="20" s="1"/>
  <c r="V56" i="20" s="1"/>
  <c r="AE57" i="20" l="1"/>
  <c r="AF57" i="20" s="1"/>
  <c r="AH57" i="20" s="1"/>
  <c r="M45" i="20"/>
  <c r="V58" i="20"/>
  <c r="V34" i="20" s="1"/>
  <c r="V45" i="20" s="1"/>
  <c r="X58" i="20"/>
  <c r="X34" i="20" s="1"/>
  <c r="X45" i="20" s="1"/>
  <c r="Z56" i="20"/>
  <c r="Y58" i="20"/>
  <c r="Y34" i="20" s="1"/>
  <c r="Y45" i="20" s="1"/>
  <c r="T58" i="20"/>
  <c r="T34" i="20" s="1"/>
  <c r="T45" i="20" s="1"/>
  <c r="Q58" i="20"/>
  <c r="Q34" i="20" s="1"/>
  <c r="Q45" i="20" s="1"/>
  <c r="O58" i="20"/>
  <c r="O34" i="20" s="1"/>
  <c r="O45" i="20" s="1"/>
  <c r="P58" i="20"/>
  <c r="P34" i="20" s="1"/>
  <c r="P45" i="20" s="1"/>
  <c r="N58" i="20"/>
  <c r="N34" i="20" s="1"/>
  <c r="N45" i="20" s="1"/>
  <c r="S58" i="20"/>
  <c r="S34" i="20" s="1"/>
  <c r="S45" i="20" s="1"/>
  <c r="R58" i="20"/>
  <c r="R34" i="20" s="1"/>
  <c r="R45" i="20" s="1"/>
  <c r="U58" i="20"/>
  <c r="U34" i="20" s="1"/>
  <c r="U45" i="20" s="1"/>
  <c r="N19" i="17"/>
  <c r="Q13" i="6" s="1"/>
  <c r="Q19" i="17"/>
  <c r="W13" i="6" s="1"/>
  <c r="I26" i="7"/>
  <c r="AA56" i="20" l="1"/>
  <c r="Z58" i="20"/>
  <c r="Z34" i="20" s="1"/>
  <c r="Z45" i="20" s="1"/>
  <c r="Q46" i="4"/>
  <c r="Q44" i="4"/>
  <c r="Q43" i="4"/>
  <c r="Q41" i="4"/>
  <c r="Q40" i="4"/>
  <c r="Q38" i="4"/>
  <c r="Q37" i="4"/>
  <c r="K38" i="4"/>
  <c r="K37" i="4"/>
  <c r="J37" i="4"/>
  <c r="Z11" i="4"/>
  <c r="Z10" i="4"/>
  <c r="Z9" i="4"/>
  <c r="Z8" i="4"/>
  <c r="Z7" i="4"/>
  <c r="Z6" i="4"/>
  <c r="X7" i="4"/>
  <c r="X6" i="4"/>
  <c r="H36" i="6" s="1"/>
  <c r="W6" i="4"/>
  <c r="AB56" i="20" l="1"/>
  <c r="AA58" i="20"/>
  <c r="AA34" i="20" s="1"/>
  <c r="AA45" i="20" s="1"/>
  <c r="AC56" i="20" l="1"/>
  <c r="AB58" i="20"/>
  <c r="AB34" i="20" s="1"/>
  <c r="AB45" i="20" s="1"/>
  <c r="AD56" i="20" l="1"/>
  <c r="AC58" i="20"/>
  <c r="AC34" i="20" s="1"/>
  <c r="AC45" i="20" s="1"/>
  <c r="AE56" i="20" l="1"/>
  <c r="AD58" i="20"/>
  <c r="AD34" i="20" s="1"/>
  <c r="AD45" i="20" s="1"/>
  <c r="AF56" i="20" l="1"/>
  <c r="AF58" i="20" s="1"/>
  <c r="AF34" i="20" s="1"/>
  <c r="AE58" i="20"/>
  <c r="AE34" i="20" s="1"/>
  <c r="AE45" i="20" s="1"/>
  <c r="AH56" i="20"/>
  <c r="AF45" i="20" l="1"/>
  <c r="AH45" i="20" s="1"/>
  <c r="AH34" i="20"/>
  <c r="AH58" i="20"/>
  <c r="D81" i="16" s="1"/>
  <c r="C81" i="16" s="1"/>
  <c r="C82" i="16" s="1"/>
  <c r="AG50" i="20"/>
  <c r="W50" i="20"/>
  <c r="M50" i="20"/>
  <c r="M53" i="20" s="1"/>
  <c r="M44" i="20" s="1"/>
  <c r="N39" i="20"/>
  <c r="O39" i="20"/>
  <c r="P39" i="20"/>
  <c r="Q39" i="20"/>
  <c r="R39" i="20"/>
  <c r="S39" i="20"/>
  <c r="T39" i="20"/>
  <c r="U39" i="20"/>
  <c r="V39" i="20"/>
  <c r="W39" i="20"/>
  <c r="X39" i="20"/>
  <c r="Y39" i="20"/>
  <c r="Z39" i="20"/>
  <c r="AA39" i="20"/>
  <c r="AB39" i="20"/>
  <c r="AC39" i="20"/>
  <c r="AD39" i="20"/>
  <c r="AE39" i="20"/>
  <c r="AF39" i="20"/>
  <c r="AG39" i="20"/>
  <c r="N40" i="20"/>
  <c r="O40" i="20"/>
  <c r="P40" i="20"/>
  <c r="Q40" i="20"/>
  <c r="R40" i="20"/>
  <c r="S40" i="20"/>
  <c r="T40" i="20"/>
  <c r="U40" i="20"/>
  <c r="V40" i="20"/>
  <c r="W40" i="20"/>
  <c r="X40" i="20"/>
  <c r="Y40" i="20"/>
  <c r="Z40" i="20"/>
  <c r="AA40" i="20"/>
  <c r="AB40" i="20"/>
  <c r="AC40" i="20"/>
  <c r="AD40" i="20"/>
  <c r="AE40" i="20"/>
  <c r="AF40" i="20"/>
  <c r="AG40" i="20"/>
  <c r="N41" i="20"/>
  <c r="O41" i="20"/>
  <c r="P41" i="20"/>
  <c r="Q41" i="20"/>
  <c r="R41" i="20"/>
  <c r="S41" i="20"/>
  <c r="T41" i="20"/>
  <c r="U41" i="20"/>
  <c r="V41" i="20"/>
  <c r="W41" i="20"/>
  <c r="X41" i="20"/>
  <c r="Y41" i="20"/>
  <c r="Z41" i="20"/>
  <c r="AA41" i="20"/>
  <c r="AB41" i="20"/>
  <c r="AC41" i="20"/>
  <c r="AD41" i="20"/>
  <c r="AE41" i="20"/>
  <c r="AF41" i="20"/>
  <c r="AG41" i="20"/>
  <c r="N42" i="20"/>
  <c r="O42" i="20"/>
  <c r="P42" i="20"/>
  <c r="Q42" i="20"/>
  <c r="R42" i="20"/>
  <c r="S42" i="20"/>
  <c r="T42" i="20"/>
  <c r="U42" i="20"/>
  <c r="V42" i="20"/>
  <c r="W42" i="20"/>
  <c r="X42" i="20"/>
  <c r="Y42" i="20"/>
  <c r="Z42" i="20"/>
  <c r="AA42" i="20"/>
  <c r="AB42" i="20"/>
  <c r="AC42" i="20"/>
  <c r="AD42" i="20"/>
  <c r="AE42" i="20"/>
  <c r="AF42" i="20"/>
  <c r="AG42" i="20"/>
  <c r="M40" i="20"/>
  <c r="AH40" i="20" s="1"/>
  <c r="M41" i="20"/>
  <c r="M39" i="20"/>
  <c r="N29" i="20"/>
  <c r="O29" i="20"/>
  <c r="P29" i="20"/>
  <c r="Q29" i="20"/>
  <c r="R29" i="20"/>
  <c r="S29" i="20"/>
  <c r="T29" i="20"/>
  <c r="U29" i="20"/>
  <c r="V29" i="20"/>
  <c r="W29" i="20"/>
  <c r="X29" i="20"/>
  <c r="Y29" i="20"/>
  <c r="Z29" i="20"/>
  <c r="AA29" i="20"/>
  <c r="AB29" i="20"/>
  <c r="AC29" i="20"/>
  <c r="AD29" i="20"/>
  <c r="AE29" i="20"/>
  <c r="AF29" i="20"/>
  <c r="AG29" i="20"/>
  <c r="N30" i="20"/>
  <c r="O30" i="20"/>
  <c r="P30" i="20"/>
  <c r="Q30" i="20"/>
  <c r="R30" i="20"/>
  <c r="S30" i="20"/>
  <c r="T30" i="20"/>
  <c r="U30" i="20"/>
  <c r="V30" i="20"/>
  <c r="W30" i="20"/>
  <c r="X30" i="20"/>
  <c r="Y30" i="20"/>
  <c r="Z30" i="20"/>
  <c r="AA30" i="20"/>
  <c r="AB30" i="20"/>
  <c r="AC30" i="20"/>
  <c r="AD30" i="20"/>
  <c r="AE30" i="20"/>
  <c r="AF30" i="20"/>
  <c r="AG30" i="20"/>
  <c r="N31" i="20"/>
  <c r="O31" i="20"/>
  <c r="P31" i="20"/>
  <c r="Q31" i="20"/>
  <c r="R31" i="20"/>
  <c r="S31" i="20"/>
  <c r="T31" i="20"/>
  <c r="U31" i="20"/>
  <c r="V31" i="20"/>
  <c r="W31" i="20"/>
  <c r="X31" i="20"/>
  <c r="Y31" i="20"/>
  <c r="Z31" i="20"/>
  <c r="AA31" i="20"/>
  <c r="AB31" i="20"/>
  <c r="AC31" i="20"/>
  <c r="AD31" i="20"/>
  <c r="AE31" i="20"/>
  <c r="AF31" i="20"/>
  <c r="AG31" i="20"/>
  <c r="N32" i="20"/>
  <c r="O32" i="20"/>
  <c r="P32" i="20"/>
  <c r="Q32" i="20"/>
  <c r="R32" i="20"/>
  <c r="S32" i="20"/>
  <c r="T32" i="20"/>
  <c r="U32" i="20"/>
  <c r="V32" i="20"/>
  <c r="W32" i="20"/>
  <c r="X32" i="20"/>
  <c r="Y32" i="20"/>
  <c r="Z32" i="20"/>
  <c r="AA32" i="20"/>
  <c r="AB32" i="20"/>
  <c r="AC32" i="20"/>
  <c r="AD32" i="20"/>
  <c r="AE32" i="20"/>
  <c r="AF32" i="20"/>
  <c r="AG32" i="20"/>
  <c r="M30" i="20"/>
  <c r="M31" i="20"/>
  <c r="M32" i="20"/>
  <c r="M37" i="17"/>
  <c r="M38" i="17"/>
  <c r="M39" i="17"/>
  <c r="M40" i="17"/>
  <c r="M41" i="17"/>
  <c r="M42" i="17"/>
  <c r="M43" i="17"/>
  <c r="M44" i="17"/>
  <c r="M45" i="17"/>
  <c r="O45" i="17" s="1"/>
  <c r="M46" i="17"/>
  <c r="M36" i="17"/>
  <c r="K46" i="17"/>
  <c r="N46" i="17" s="1"/>
  <c r="K45" i="17"/>
  <c r="N45" i="17" s="1"/>
  <c r="K44" i="17"/>
  <c r="N44" i="17" s="1"/>
  <c r="K43" i="17"/>
  <c r="N43" i="17" s="1"/>
  <c r="K42" i="17"/>
  <c r="N42" i="17" s="1"/>
  <c r="K41" i="17"/>
  <c r="N41" i="17" s="1"/>
  <c r="K40" i="17"/>
  <c r="N40" i="17" s="1"/>
  <c r="K39" i="17"/>
  <c r="N39" i="17" s="1"/>
  <c r="O39" i="17" s="1"/>
  <c r="K38" i="17"/>
  <c r="N38" i="17" s="1"/>
  <c r="K37" i="17"/>
  <c r="N37" i="17" s="1"/>
  <c r="K36" i="17"/>
  <c r="N36" i="17" s="1"/>
  <c r="AH42" i="20" l="1"/>
  <c r="AH39" i="20"/>
  <c r="AH41" i="20"/>
  <c r="Z49" i="20"/>
  <c r="R49" i="20"/>
  <c r="AG49" i="20"/>
  <c r="AG53" i="20" s="1"/>
  <c r="AG44" i="20" s="1"/>
  <c r="Y49" i="20"/>
  <c r="Q49" i="20"/>
  <c r="AF49" i="20"/>
  <c r="X49" i="20"/>
  <c r="P49" i="20"/>
  <c r="AE49" i="20"/>
  <c r="W49" i="20"/>
  <c r="W53" i="20" s="1"/>
  <c r="W44" i="20" s="1"/>
  <c r="O49" i="20"/>
  <c r="AD49" i="20"/>
  <c r="V49" i="20"/>
  <c r="N49" i="20"/>
  <c r="AH31" i="20"/>
  <c r="AH29" i="20"/>
  <c r="AC49" i="20"/>
  <c r="U49" i="20"/>
  <c r="AH30" i="20"/>
  <c r="AB49" i="20"/>
  <c r="T49" i="20"/>
  <c r="AH32" i="20"/>
  <c r="AA49" i="20"/>
  <c r="S49" i="20"/>
  <c r="O37" i="17"/>
  <c r="X50" i="20"/>
  <c r="AG43" i="20"/>
  <c r="M33" i="20"/>
  <c r="O43" i="17"/>
  <c r="O40" i="17"/>
  <c r="O36" i="17"/>
  <c r="O44" i="17"/>
  <c r="O38" i="17"/>
  <c r="O41" i="17"/>
  <c r="O42" i="17"/>
  <c r="O46" i="17"/>
  <c r="V33" i="20"/>
  <c r="V35" i="20" s="1"/>
  <c r="Z43" i="20"/>
  <c r="R43" i="20"/>
  <c r="X43" i="20"/>
  <c r="P43" i="20"/>
  <c r="AD43" i="20"/>
  <c r="V43" i="20"/>
  <c r="N43" i="20"/>
  <c r="AC43" i="20"/>
  <c r="U43" i="20"/>
  <c r="AF43" i="20"/>
  <c r="AB43" i="20"/>
  <c r="T43" i="20"/>
  <c r="N33" i="20"/>
  <c r="N35" i="20" s="1"/>
  <c r="AE43" i="20"/>
  <c r="W43" i="20"/>
  <c r="O43" i="20"/>
  <c r="AA43" i="20"/>
  <c r="S43" i="20"/>
  <c r="M43" i="20"/>
  <c r="Y43" i="20"/>
  <c r="Q43" i="20"/>
  <c r="Z33" i="20"/>
  <c r="Z35" i="20" s="1"/>
  <c r="R33" i="20"/>
  <c r="R35" i="20" s="1"/>
  <c r="N50" i="20"/>
  <c r="AD33" i="20"/>
  <c r="AD35" i="20" s="1"/>
  <c r="AF33" i="20"/>
  <c r="AF35" i="20" s="1"/>
  <c r="X33" i="20"/>
  <c r="X35" i="20" s="1"/>
  <c r="P33" i="20"/>
  <c r="P35" i="20" s="1"/>
  <c r="AG33" i="20"/>
  <c r="AG35" i="20" s="1"/>
  <c r="AG36" i="20" s="1"/>
  <c r="Y33" i="20"/>
  <c r="Y35" i="20" s="1"/>
  <c r="Q33" i="20"/>
  <c r="Q35" i="20" s="1"/>
  <c r="AE33" i="20"/>
  <c r="AE35" i="20" s="1"/>
  <c r="W33" i="20"/>
  <c r="W35" i="20" s="1"/>
  <c r="W36" i="20" s="1"/>
  <c r="O33" i="20"/>
  <c r="O35" i="20" s="1"/>
  <c r="AC33" i="20"/>
  <c r="AC35" i="20" s="1"/>
  <c r="U33" i="20"/>
  <c r="U35" i="20" s="1"/>
  <c r="AB33" i="20"/>
  <c r="AB35" i="20" s="1"/>
  <c r="T33" i="20"/>
  <c r="T35" i="20" s="1"/>
  <c r="AA33" i="20"/>
  <c r="AA35" i="20" s="1"/>
  <c r="S33" i="20"/>
  <c r="S35" i="20" s="1"/>
  <c r="AH49" i="20" l="1"/>
  <c r="X53" i="20"/>
  <c r="X44" i="20" s="1"/>
  <c r="X46" i="20" s="1"/>
  <c r="N53" i="20"/>
  <c r="N44" i="20" s="1"/>
  <c r="AH33" i="20"/>
  <c r="Y50" i="20"/>
  <c r="Y53" i="20" s="1"/>
  <c r="AG46" i="20"/>
  <c r="AG47" i="20" s="1"/>
  <c r="M35" i="20"/>
  <c r="M46" i="20"/>
  <c r="M47" i="20" s="1"/>
  <c r="AH43" i="20"/>
  <c r="W46" i="20"/>
  <c r="W47" i="20" s="1"/>
  <c r="O50" i="20"/>
  <c r="M36" i="20" l="1"/>
  <c r="AH35" i="20"/>
  <c r="Z50" i="20"/>
  <c r="Z53" i="20" s="1"/>
  <c r="Y44" i="20"/>
  <c r="P50" i="20"/>
  <c r="O53" i="20"/>
  <c r="O44" i="20" s="1"/>
  <c r="AA50" i="20" l="1"/>
  <c r="AA53" i="20" s="1"/>
  <c r="Z44" i="20"/>
  <c r="Z46" i="20" s="1"/>
  <c r="Y46" i="20"/>
  <c r="N46" i="20"/>
  <c r="P53" i="20"/>
  <c r="P44" i="20" s="1"/>
  <c r="Q50" i="20"/>
  <c r="AB50" i="20" l="1"/>
  <c r="AB53" i="20" s="1"/>
  <c r="AA44" i="20"/>
  <c r="AA46" i="20" s="1"/>
  <c r="O46" i="20"/>
  <c r="R50" i="20"/>
  <c r="Q53" i="20"/>
  <c r="Q44" i="20" s="1"/>
  <c r="AC50" i="20" l="1"/>
  <c r="AC53" i="20" s="1"/>
  <c r="AB44" i="20"/>
  <c r="AB46" i="20" s="1"/>
  <c r="P46" i="20"/>
  <c r="S50" i="20"/>
  <c r="R53" i="20"/>
  <c r="AD50" i="20" l="1"/>
  <c r="AD53" i="20" s="1"/>
  <c r="AC44" i="20"/>
  <c r="AC46" i="20"/>
  <c r="R44" i="20"/>
  <c r="Q46" i="20"/>
  <c r="T50" i="20"/>
  <c r="S53" i="20"/>
  <c r="AE50" i="20" l="1"/>
  <c r="AE53" i="20" s="1"/>
  <c r="AD44" i="20"/>
  <c r="R46" i="20"/>
  <c r="AD46" i="20"/>
  <c r="S44" i="20"/>
  <c r="U50" i="20"/>
  <c r="T53" i="20"/>
  <c r="AF50" i="20" l="1"/>
  <c r="AF53" i="20" s="1"/>
  <c r="AE44" i="20"/>
  <c r="AE46" i="20"/>
  <c r="T44" i="20"/>
  <c r="S46" i="20"/>
  <c r="V50" i="20"/>
  <c r="U53" i="20"/>
  <c r="T46" i="20" l="1"/>
  <c r="V53" i="20"/>
  <c r="AH53" i="20" s="1"/>
  <c r="D80" i="16" s="1"/>
  <c r="AH50" i="20"/>
  <c r="V44" i="20"/>
  <c r="U44" i="20"/>
  <c r="AF44" i="20" l="1"/>
  <c r="AH44" i="20" s="1"/>
  <c r="D82" i="16"/>
  <c r="U46" i="20"/>
  <c r="V46" i="20"/>
  <c r="I24" i="2"/>
  <c r="H24" i="2"/>
  <c r="G24" i="2"/>
  <c r="F24" i="2"/>
  <c r="E24" i="2"/>
  <c r="C24" i="2"/>
  <c r="Q115" i="7"/>
  <c r="G27" i="7"/>
  <c r="H27" i="7"/>
  <c r="I27" i="7"/>
  <c r="I25" i="7"/>
  <c r="I24" i="7"/>
  <c r="E24" i="7"/>
  <c r="F24" i="7"/>
  <c r="G24" i="7"/>
  <c r="H24" i="7"/>
  <c r="C24" i="7"/>
  <c r="D24" i="7"/>
  <c r="U110" i="7"/>
  <c r="Z110" i="7" s="1"/>
  <c r="Q28" i="6" s="1"/>
  <c r="U109" i="7"/>
  <c r="Z109" i="7" s="1"/>
  <c r="U108" i="7"/>
  <c r="Z108" i="7" s="1"/>
  <c r="U107" i="7"/>
  <c r="U106" i="7"/>
  <c r="Z106" i="7" s="1"/>
  <c r="G28" i="6" s="1"/>
  <c r="U105" i="7"/>
  <c r="Z105" i="7" s="1"/>
  <c r="V115" i="7"/>
  <c r="AA115" i="7" s="1"/>
  <c r="U115" i="7"/>
  <c r="Z115" i="7" s="1"/>
  <c r="T115" i="7"/>
  <c r="Y115" i="7" s="1"/>
  <c r="S115" i="7"/>
  <c r="X115" i="7" s="1"/>
  <c r="V114" i="7"/>
  <c r="AA114" i="7" s="1"/>
  <c r="U114" i="7"/>
  <c r="Z114" i="7" s="1"/>
  <c r="W28" i="6" s="1"/>
  <c r="T114" i="7"/>
  <c r="Y114" i="7" s="1"/>
  <c r="W32" i="6" s="1"/>
  <c r="S114" i="7"/>
  <c r="X114" i="7" s="1"/>
  <c r="W24" i="6" s="1"/>
  <c r="Q114" i="7"/>
  <c r="V113" i="7"/>
  <c r="AA113" i="7" s="1"/>
  <c r="U113" i="7"/>
  <c r="Z113" i="7" s="1"/>
  <c r="T113" i="7"/>
  <c r="Y113" i="7" s="1"/>
  <c r="S113" i="7"/>
  <c r="X113" i="7" s="1"/>
  <c r="Q113" i="7"/>
  <c r="V112" i="7"/>
  <c r="AA112" i="7" s="1"/>
  <c r="U112" i="7"/>
  <c r="Z112" i="7" s="1"/>
  <c r="T112" i="7"/>
  <c r="Y112" i="7" s="1"/>
  <c r="S112" i="7"/>
  <c r="X112" i="7" s="1"/>
  <c r="Q112" i="7"/>
  <c r="V111" i="7"/>
  <c r="AA111" i="7" s="1"/>
  <c r="U111" i="7"/>
  <c r="Z111" i="7" s="1"/>
  <c r="T111" i="7"/>
  <c r="Y111" i="7" s="1"/>
  <c r="S111" i="7"/>
  <c r="X111" i="7" s="1"/>
  <c r="Q111" i="7"/>
  <c r="V110" i="7"/>
  <c r="AA110" i="7" s="1"/>
  <c r="T110" i="7"/>
  <c r="Y110" i="7" s="1"/>
  <c r="Q32" i="6" s="1"/>
  <c r="S110" i="7"/>
  <c r="X110" i="7" s="1"/>
  <c r="Q24" i="6" s="1"/>
  <c r="Q110" i="7"/>
  <c r="V109" i="7"/>
  <c r="AA109" i="7" s="1"/>
  <c r="T109" i="7"/>
  <c r="Y109" i="7" s="1"/>
  <c r="S109" i="7"/>
  <c r="X109" i="7" s="1"/>
  <c r="Q109" i="7"/>
  <c r="V108" i="7"/>
  <c r="AA108" i="7" s="1"/>
  <c r="T108" i="7"/>
  <c r="Y108" i="7" s="1"/>
  <c r="S108" i="7"/>
  <c r="X108" i="7" s="1"/>
  <c r="Q108" i="7"/>
  <c r="Z107" i="7"/>
  <c r="K28" i="6" s="1"/>
  <c r="V107" i="7"/>
  <c r="AA107" i="7" s="1"/>
  <c r="T107" i="7"/>
  <c r="Y107" i="7" s="1"/>
  <c r="K32" i="6" s="1"/>
  <c r="S107" i="7"/>
  <c r="K24" i="6" s="1"/>
  <c r="Q107" i="7"/>
  <c r="V106" i="7"/>
  <c r="AA106" i="7" s="1"/>
  <c r="Y106" i="7"/>
  <c r="G32" i="6" s="1"/>
  <c r="S106" i="7"/>
  <c r="X106" i="7" s="1"/>
  <c r="G24" i="6" s="1"/>
  <c r="Q106" i="7"/>
  <c r="V105" i="7"/>
  <c r="AA105" i="7" s="1"/>
  <c r="Y105" i="7"/>
  <c r="X105" i="7"/>
  <c r="Q105" i="7"/>
  <c r="AF46" i="20" l="1"/>
  <c r="AH46" i="20" s="1"/>
  <c r="C26" i="7"/>
  <c r="D26" i="7"/>
  <c r="E26" i="7"/>
  <c r="F26" i="7"/>
  <c r="G26" i="7"/>
  <c r="H26" i="7"/>
  <c r="D44" i="2"/>
  <c r="E44" i="2"/>
  <c r="J18" i="6" s="1"/>
  <c r="F44" i="2"/>
  <c r="G44" i="2"/>
  <c r="P18" i="6" s="1"/>
  <c r="H44" i="2"/>
  <c r="I44" i="2"/>
  <c r="V18" i="6" s="1"/>
  <c r="D45" i="2"/>
  <c r="E45" i="2"/>
  <c r="I18" i="6" s="1"/>
  <c r="F45" i="2"/>
  <c r="G45" i="2"/>
  <c r="O18" i="6" s="1"/>
  <c r="H45" i="2"/>
  <c r="I45" i="2"/>
  <c r="U18" i="6" s="1"/>
  <c r="C45" i="2"/>
  <c r="C44" i="2"/>
  <c r="F18" i="6" s="1"/>
  <c r="I19" i="17"/>
  <c r="H19" i="17"/>
  <c r="D19" i="17"/>
  <c r="C19" i="17"/>
  <c r="F19" i="17"/>
  <c r="M19" i="17"/>
  <c r="D35" i="2" l="1"/>
  <c r="E35" i="2"/>
  <c r="I12" i="6" s="1"/>
  <c r="F35" i="2"/>
  <c r="G35" i="2"/>
  <c r="O12" i="6" s="1"/>
  <c r="H35" i="2"/>
  <c r="I35" i="2"/>
  <c r="U12" i="6" s="1"/>
  <c r="D36" i="2"/>
  <c r="E36" i="2"/>
  <c r="J12" i="6" s="1"/>
  <c r="F36" i="2"/>
  <c r="G36" i="2"/>
  <c r="P12" i="6" s="1"/>
  <c r="H36" i="2"/>
  <c r="I36" i="2"/>
  <c r="V12" i="6" s="1"/>
  <c r="C36" i="2"/>
  <c r="C35" i="2"/>
  <c r="F12" i="6" s="1"/>
  <c r="U14" i="6" l="1"/>
  <c r="I14" i="6"/>
  <c r="V14" i="6"/>
  <c r="E12" i="6" l="1"/>
  <c r="F22" i="16" l="1"/>
  <c r="F21" i="16"/>
  <c r="F19" i="16"/>
  <c r="F18" i="16"/>
  <c r="F17" i="16"/>
  <c r="F15" i="16"/>
  <c r="E22" i="16"/>
  <c r="E21" i="16"/>
  <c r="E19" i="16"/>
  <c r="E18" i="16"/>
  <c r="E17" i="16"/>
  <c r="E15" i="16"/>
  <c r="D25" i="7"/>
  <c r="E25" i="7"/>
  <c r="F25" i="7"/>
  <c r="G25" i="7"/>
  <c r="H25" i="7"/>
  <c r="C25" i="7"/>
  <c r="Q75" i="24"/>
  <c r="R75" i="24"/>
  <c r="S75" i="24"/>
  <c r="T75" i="24"/>
  <c r="U75" i="24"/>
  <c r="V75" i="24"/>
  <c r="W75" i="24"/>
  <c r="Q76" i="24"/>
  <c r="R76" i="24"/>
  <c r="S76" i="24"/>
  <c r="T76" i="24"/>
  <c r="U76" i="24"/>
  <c r="V76" i="24"/>
  <c r="W76" i="24"/>
  <c r="R77" i="24"/>
  <c r="S77" i="24"/>
  <c r="T77" i="24"/>
  <c r="U77" i="24"/>
  <c r="V77" i="24"/>
  <c r="W77" i="24"/>
  <c r="R78" i="24"/>
  <c r="S78" i="24"/>
  <c r="T78" i="24"/>
  <c r="U78" i="24"/>
  <c r="V78" i="24"/>
  <c r="W78" i="24"/>
  <c r="Q79" i="24"/>
  <c r="R79" i="24"/>
  <c r="S79" i="24"/>
  <c r="T79" i="24"/>
  <c r="U79" i="24"/>
  <c r="V79" i="24"/>
  <c r="W79" i="24"/>
  <c r="R80" i="24"/>
  <c r="S80" i="24"/>
  <c r="T80" i="24"/>
  <c r="U80" i="24"/>
  <c r="V80" i="24"/>
  <c r="W80" i="24"/>
  <c r="Q81" i="24"/>
  <c r="R81" i="24"/>
  <c r="S81" i="24"/>
  <c r="T81" i="24"/>
  <c r="U81" i="24"/>
  <c r="V81" i="24"/>
  <c r="W81" i="24"/>
  <c r="R82" i="24"/>
  <c r="S82" i="24"/>
  <c r="T82" i="24"/>
  <c r="U82" i="24"/>
  <c r="V82" i="24"/>
  <c r="W82" i="24"/>
  <c r="R83" i="24"/>
  <c r="S83" i="24"/>
  <c r="T83" i="24"/>
  <c r="U83" i="24"/>
  <c r="V83" i="24"/>
  <c r="W83" i="24"/>
  <c r="R84" i="24"/>
  <c r="S84" i="24"/>
  <c r="T84" i="24"/>
  <c r="U84" i="24"/>
  <c r="V84" i="24"/>
  <c r="W84" i="24"/>
  <c r="R85" i="24"/>
  <c r="S85" i="24"/>
  <c r="T85" i="24"/>
  <c r="U85" i="24"/>
  <c r="V85" i="24"/>
  <c r="W85" i="24"/>
  <c r="P76" i="24"/>
  <c r="P77" i="24"/>
  <c r="P78" i="24"/>
  <c r="P79" i="24"/>
  <c r="P80" i="24"/>
  <c r="P81" i="24"/>
  <c r="P82" i="24"/>
  <c r="P83" i="24"/>
  <c r="P84" i="24"/>
  <c r="P85" i="24"/>
  <c r="P75" i="24"/>
  <c r="J109" i="24"/>
  <c r="I109" i="24"/>
  <c r="H109" i="24"/>
  <c r="G109" i="24"/>
  <c r="F109" i="24"/>
  <c r="E109" i="24"/>
  <c r="D109" i="24"/>
  <c r="J108" i="24"/>
  <c r="I108" i="24"/>
  <c r="H108" i="24"/>
  <c r="G108" i="24"/>
  <c r="F108" i="24"/>
  <c r="E108" i="24"/>
  <c r="D108" i="24"/>
  <c r="J107" i="24"/>
  <c r="I107" i="24"/>
  <c r="H107" i="24"/>
  <c r="G107" i="24"/>
  <c r="F107" i="24"/>
  <c r="E107" i="24"/>
  <c r="D107" i="24"/>
  <c r="J106" i="24"/>
  <c r="I106" i="24"/>
  <c r="H106" i="24"/>
  <c r="G106" i="24"/>
  <c r="F106" i="24"/>
  <c r="E106" i="24"/>
  <c r="D106" i="24"/>
  <c r="J105" i="24"/>
  <c r="I105" i="24"/>
  <c r="H105" i="24"/>
  <c r="G105" i="24"/>
  <c r="F105" i="24"/>
  <c r="E105" i="24"/>
  <c r="D105" i="24"/>
  <c r="J104" i="24"/>
  <c r="I104" i="24"/>
  <c r="H104" i="24"/>
  <c r="G104" i="24"/>
  <c r="F104" i="24"/>
  <c r="E104" i="24"/>
  <c r="D104" i="24"/>
  <c r="J103" i="24"/>
  <c r="I103" i="24"/>
  <c r="H103" i="24"/>
  <c r="G103" i="24"/>
  <c r="F103" i="24"/>
  <c r="E103" i="24"/>
  <c r="D103" i="24"/>
  <c r="J102" i="24"/>
  <c r="I102" i="24"/>
  <c r="H102" i="24"/>
  <c r="G102" i="24"/>
  <c r="F102" i="24"/>
  <c r="E102" i="24"/>
  <c r="D102" i="24"/>
  <c r="L99" i="24"/>
  <c r="L98" i="24"/>
  <c r="L97" i="24"/>
  <c r="L96" i="24"/>
  <c r="L95" i="24"/>
  <c r="L94" i="24"/>
  <c r="L93" i="24"/>
  <c r="K36" i="6"/>
  <c r="H39" i="6" s="1"/>
  <c r="J37" i="6"/>
  <c r="D22" i="7"/>
  <c r="H24" i="6" s="1"/>
  <c r="H25" i="6" s="1"/>
  <c r="E19" i="17"/>
  <c r="L107" i="24" l="1"/>
  <c r="L103" i="24"/>
  <c r="L109" i="24"/>
  <c r="L108" i="24"/>
  <c r="L106" i="24"/>
  <c r="L105" i="24"/>
  <c r="L104" i="24"/>
  <c r="Q44" i="6" s="1"/>
  <c r="L102" i="24"/>
  <c r="F49" i="16" l="1"/>
  <c r="F48" i="16"/>
  <c r="F45" i="16"/>
  <c r="F44" i="16"/>
  <c r="F43" i="16"/>
  <c r="F40" i="16"/>
  <c r="W47" i="6"/>
  <c r="Q47" i="6"/>
  <c r="F50" i="16" l="1"/>
  <c r="F46" i="16"/>
  <c r="Q54" i="6"/>
  <c r="C46" i="16" s="1"/>
  <c r="W54" i="6"/>
  <c r="C50" i="16" s="1"/>
  <c r="K54" i="6"/>
  <c r="C41" i="16" s="1"/>
  <c r="M54" i="6"/>
  <c r="L54" i="6"/>
  <c r="H54" i="6"/>
  <c r="S54" i="6"/>
  <c r="C48" i="16" s="1"/>
  <c r="N54" i="6"/>
  <c r="C45" i="16" s="1"/>
  <c r="T54" i="6"/>
  <c r="C49" i="16" s="1"/>
  <c r="E40" i="16"/>
  <c r="E43" i="16"/>
  <c r="E44" i="16"/>
  <c r="E45" i="16"/>
  <c r="D40" i="16"/>
  <c r="D43" i="16"/>
  <c r="D44" i="16"/>
  <c r="D48" i="16"/>
  <c r="D45" i="16"/>
  <c r="D49" i="16"/>
  <c r="E63" i="16"/>
  <c r="E60" i="16"/>
  <c r="C44" i="16" l="1"/>
  <c r="M56" i="6"/>
  <c r="C40" i="16"/>
  <c r="H56" i="6"/>
  <c r="C43" i="16"/>
  <c r="L56" i="6"/>
  <c r="C22" i="16" l="1"/>
  <c r="C21" i="16"/>
  <c r="C15" i="16"/>
  <c r="C18" i="16" l="1"/>
  <c r="C19" i="16"/>
  <c r="C17" i="16"/>
  <c r="W50" i="6" l="1"/>
  <c r="Q50" i="6"/>
  <c r="K50" i="6"/>
  <c r="H50" i="6"/>
  <c r="H52" i="6" s="1"/>
  <c r="F7" i="11"/>
  <c r="L50" i="6" s="1"/>
  <c r="H53" i="6" l="1"/>
  <c r="L53" i="6"/>
  <c r="T47" i="6"/>
  <c r="S47" i="6"/>
  <c r="N47" i="6"/>
  <c r="N49" i="6" s="1"/>
  <c r="M47" i="6"/>
  <c r="M49" i="6" s="1"/>
  <c r="L47" i="6"/>
  <c r="L49" i="6" s="1"/>
  <c r="H47" i="6"/>
  <c r="T44" i="6"/>
  <c r="S44" i="6"/>
  <c r="N44" i="6"/>
  <c r="M44" i="6"/>
  <c r="L44" i="6"/>
  <c r="C58" i="19"/>
  <c r="D58" i="19"/>
  <c r="E58" i="19"/>
  <c r="F58" i="19"/>
  <c r="G58" i="19"/>
  <c r="H58" i="19"/>
  <c r="I58" i="19"/>
  <c r="J58" i="19"/>
  <c r="W40" i="6" s="1"/>
  <c r="K58" i="19"/>
  <c r="B58" i="19"/>
  <c r="K40" i="6" s="1"/>
  <c r="H43" i="6" s="1"/>
  <c r="T40" i="6"/>
  <c r="S40" i="6"/>
  <c r="N40" i="6"/>
  <c r="M40" i="6"/>
  <c r="M42" i="6" s="1"/>
  <c r="L42" i="6"/>
  <c r="T42" i="6" l="1"/>
  <c r="T43" i="6"/>
  <c r="Q40" i="6"/>
  <c r="N43" i="6" s="1"/>
  <c r="S43" i="6"/>
  <c r="S45" i="6"/>
  <c r="S46" i="6"/>
  <c r="T46" i="6"/>
  <c r="T45" i="6"/>
  <c r="S42" i="6"/>
  <c r="N42" i="6"/>
  <c r="H45" i="6"/>
  <c r="M43" i="6"/>
  <c r="S49" i="6"/>
  <c r="T49" i="6"/>
  <c r="L45" i="6"/>
  <c r="M45" i="6"/>
  <c r="N45" i="6"/>
  <c r="M46" i="6"/>
  <c r="L43" i="6" l="1"/>
  <c r="N46" i="6"/>
  <c r="L46" i="6"/>
  <c r="W11" i="4" l="1"/>
  <c r="W10" i="4"/>
  <c r="W9" i="4"/>
  <c r="W8" i="4"/>
  <c r="M36" i="6" s="1"/>
  <c r="W7" i="4"/>
  <c r="L36" i="6" s="1"/>
  <c r="L38" i="6" s="1"/>
  <c r="K47" i="4"/>
  <c r="V36" i="6" s="1"/>
  <c r="K46" i="4"/>
  <c r="U36" i="6" s="1"/>
  <c r="K44" i="4"/>
  <c r="P36" i="6" s="1"/>
  <c r="K43" i="4"/>
  <c r="O36" i="6" s="1"/>
  <c r="K41" i="4"/>
  <c r="J36" i="6" s="1"/>
  <c r="K40" i="4"/>
  <c r="I36" i="6" s="1"/>
  <c r="X8" i="4"/>
  <c r="X9" i="4"/>
  <c r="S36" i="6" s="1"/>
  <c r="X10" i="4"/>
  <c r="X11" i="4"/>
  <c r="T36" i="6" s="1"/>
  <c r="J44" i="4"/>
  <c r="J43" i="4"/>
  <c r="J41" i="4"/>
  <c r="J40" i="4"/>
  <c r="J38" i="4"/>
  <c r="Q47" i="4"/>
  <c r="J47" i="4"/>
  <c r="J46" i="4"/>
  <c r="W16" i="4"/>
  <c r="S32" i="6"/>
  <c r="C51" i="7"/>
  <c r="H28" i="6"/>
  <c r="H29" i="6" s="1"/>
  <c r="L28" i="6"/>
  <c r="M28" i="6"/>
  <c r="S28" i="6"/>
  <c r="N28" i="6"/>
  <c r="T28" i="6"/>
  <c r="M38" i="6" l="1"/>
  <c r="S38" i="6"/>
  <c r="T38" i="6"/>
  <c r="K25" i="6"/>
  <c r="H27" i="6" s="1"/>
  <c r="L39" i="6"/>
  <c r="T39" i="6"/>
  <c r="M39" i="6"/>
  <c r="S39" i="6"/>
  <c r="Q25" i="6"/>
  <c r="K29" i="6"/>
  <c r="H31" i="6" s="1"/>
  <c r="W29" i="6"/>
  <c r="M29" i="6"/>
  <c r="W25" i="6"/>
  <c r="N29" i="6"/>
  <c r="L29" i="6"/>
  <c r="S29" i="6"/>
  <c r="Q29" i="6"/>
  <c r="T29" i="6"/>
  <c r="W33" i="6"/>
  <c r="K33" i="6"/>
  <c r="Q33" i="6"/>
  <c r="S33" i="6"/>
  <c r="M31" i="6" l="1"/>
  <c r="N31" i="6"/>
  <c r="L31" i="6"/>
  <c r="T31" i="6"/>
  <c r="S31" i="6"/>
  <c r="S35" i="6"/>
  <c r="H18" i="6" l="1"/>
  <c r="W19" i="6"/>
  <c r="V20" i="6"/>
  <c r="U20" i="6"/>
  <c r="P20" i="6"/>
  <c r="O20" i="6"/>
  <c r="I20" i="6"/>
  <c r="J20" i="6"/>
  <c r="T18" i="6" l="1"/>
  <c r="S18" i="6"/>
  <c r="N18" i="6"/>
  <c r="M18" i="6"/>
  <c r="L18" i="6"/>
  <c r="T19" i="6"/>
  <c r="S19" i="6"/>
  <c r="Q19" i="6"/>
  <c r="N19" i="6"/>
  <c r="M19" i="6"/>
  <c r="L19" i="6"/>
  <c r="K19" i="6"/>
  <c r="H19" i="6"/>
  <c r="F63" i="16"/>
  <c r="N13" i="6"/>
  <c r="C59" i="16" s="1"/>
  <c r="H13" i="6"/>
  <c r="C55" i="16" s="1"/>
  <c r="H12" i="6"/>
  <c r="E13" i="6"/>
  <c r="E19" i="6"/>
  <c r="G19" i="6" s="1"/>
  <c r="W21" i="6" s="1"/>
  <c r="E18" i="6"/>
  <c r="H20" i="6" s="1"/>
  <c r="H22" i="6" s="1"/>
  <c r="J19" i="17"/>
  <c r="K19" i="17"/>
  <c r="L13" i="6" s="1"/>
  <c r="C57" i="16" s="1"/>
  <c r="L19" i="17"/>
  <c r="M13" i="6" s="1"/>
  <c r="C58" i="16" s="1"/>
  <c r="O19" i="17"/>
  <c r="P19" i="17"/>
  <c r="T13" i="6" s="1"/>
  <c r="C62" i="16" s="1"/>
  <c r="F60" i="16"/>
  <c r="H32" i="6"/>
  <c r="H33" i="6" s="1"/>
  <c r="L32" i="6"/>
  <c r="L33" i="6" s="1"/>
  <c r="N32" i="6"/>
  <c r="N33" i="6" s="1"/>
  <c r="D27" i="7"/>
  <c r="E27" i="7"/>
  <c r="F27" i="7"/>
  <c r="K98" i="7"/>
  <c r="J98" i="7"/>
  <c r="V28" i="6" s="1"/>
  <c r="I98" i="7"/>
  <c r="U32" i="6" s="1"/>
  <c r="U24" i="6"/>
  <c r="K97" i="7"/>
  <c r="J97" i="7"/>
  <c r="U28" i="6" s="1"/>
  <c r="I97" i="7"/>
  <c r="V32" i="6" s="1"/>
  <c r="V24" i="6"/>
  <c r="K95" i="7"/>
  <c r="J95" i="7"/>
  <c r="P28" i="6" s="1"/>
  <c r="I95" i="7"/>
  <c r="O32" i="6" s="1"/>
  <c r="O24" i="6"/>
  <c r="K94" i="7"/>
  <c r="J94" i="7"/>
  <c r="O28" i="6" s="1"/>
  <c r="I94" i="7"/>
  <c r="P32" i="6" s="1"/>
  <c r="K92" i="7"/>
  <c r="J92" i="7"/>
  <c r="J28" i="6" s="1"/>
  <c r="I92" i="7"/>
  <c r="I32" i="6" s="1"/>
  <c r="I24" i="6"/>
  <c r="K91" i="7"/>
  <c r="J91" i="7"/>
  <c r="I28" i="6" s="1"/>
  <c r="I91" i="7"/>
  <c r="J32" i="6" s="1"/>
  <c r="I89" i="7"/>
  <c r="J89" i="7"/>
  <c r="K89" i="7"/>
  <c r="I88" i="7"/>
  <c r="F32" i="6" s="1"/>
  <c r="J88" i="7"/>
  <c r="F28" i="6" s="1"/>
  <c r="K88" i="7"/>
  <c r="O33" i="6" l="1"/>
  <c r="L34" i="6"/>
  <c r="H35" i="6"/>
  <c r="H14" i="6"/>
  <c r="H16" i="6" s="1"/>
  <c r="N20" i="6"/>
  <c r="S13" i="6"/>
  <c r="C61" i="16" s="1"/>
  <c r="K21" i="6"/>
  <c r="H21" i="6"/>
  <c r="S21" i="6"/>
  <c r="S23" i="6" s="1"/>
  <c r="I29" i="6"/>
  <c r="H30" i="6" s="1"/>
  <c r="I33" i="6"/>
  <c r="J29" i="6"/>
  <c r="V29" i="6"/>
  <c r="P29" i="6"/>
  <c r="J24" i="6"/>
  <c r="T32" i="6"/>
  <c r="T33" i="6" s="1"/>
  <c r="J33" i="6"/>
  <c r="P33" i="6"/>
  <c r="V33" i="6"/>
  <c r="N35" i="6"/>
  <c r="O29" i="6"/>
  <c r="U29" i="6"/>
  <c r="M32" i="6"/>
  <c r="M33" i="6" s="1"/>
  <c r="M35" i="6" s="1"/>
  <c r="L35" i="6"/>
  <c r="P24" i="6"/>
  <c r="V25" i="6"/>
  <c r="U33" i="6"/>
  <c r="J63" i="16"/>
  <c r="K63" i="16"/>
  <c r="K60" i="16"/>
  <c r="J60" i="16"/>
  <c r="D55" i="16"/>
  <c r="H55" i="16" s="1"/>
  <c r="F56" i="16"/>
  <c r="H15" i="6"/>
  <c r="W15" i="6"/>
  <c r="M20" i="6"/>
  <c r="M22" i="6" s="1"/>
  <c r="S20" i="6"/>
  <c r="S22" i="6" s="1"/>
  <c r="L20" i="6"/>
  <c r="L22" i="6" s="1"/>
  <c r="N21" i="6"/>
  <c r="P14" i="6"/>
  <c r="T21" i="6"/>
  <c r="T23" i="6" s="1"/>
  <c r="O14" i="6"/>
  <c r="L21" i="6"/>
  <c r="M21" i="6"/>
  <c r="Q21" i="6"/>
  <c r="N22" i="6"/>
  <c r="T20" i="6"/>
  <c r="T22" i="6" s="1"/>
  <c r="T15" i="6"/>
  <c r="L15" i="6"/>
  <c r="M15" i="6"/>
  <c r="Q15" i="6"/>
  <c r="K15" i="6"/>
  <c r="N15" i="6"/>
  <c r="H23" i="6" l="1"/>
  <c r="M23" i="6"/>
  <c r="L23" i="6"/>
  <c r="N17" i="6"/>
  <c r="H34" i="6"/>
  <c r="L30" i="6"/>
  <c r="S34" i="6"/>
  <c r="H17" i="6"/>
  <c r="T17" i="6"/>
  <c r="S15" i="6"/>
  <c r="S17" i="6" s="1"/>
  <c r="N23" i="6"/>
  <c r="I25" i="6"/>
  <c r="U25" i="6"/>
  <c r="O25" i="6"/>
  <c r="T35" i="6"/>
  <c r="P25" i="6"/>
  <c r="N34" i="6"/>
  <c r="J25" i="6"/>
  <c r="I55" i="16"/>
  <c r="M17" i="6"/>
  <c r="L17" i="6"/>
  <c r="J56" i="16"/>
  <c r="K56" i="16"/>
  <c r="H26" i="6" l="1"/>
  <c r="F11" i="11" l="1"/>
  <c r="T50" i="6" s="1"/>
  <c r="F10" i="11"/>
  <c r="N50" i="6" s="1"/>
  <c r="F9" i="11"/>
  <c r="S50" i="6" s="1"/>
  <c r="F8" i="11"/>
  <c r="M50" i="6" s="1"/>
  <c r="M53" i="6" l="1"/>
  <c r="N53" i="6"/>
  <c r="S53" i="6"/>
  <c r="T53" i="6"/>
  <c r="H55" i="6"/>
  <c r="L55" i="6"/>
  <c r="N56" i="6"/>
  <c r="N55" i="6"/>
  <c r="T56" i="6" l="1"/>
  <c r="T55" i="6"/>
  <c r="S55" i="6"/>
  <c r="S56" i="6"/>
  <c r="M55" i="6"/>
  <c r="D52" i="7" l="1"/>
  <c r="C52" i="7"/>
  <c r="C50" i="7" s="1"/>
  <c r="D51" i="7"/>
  <c r="I22" i="7"/>
  <c r="H22" i="7"/>
  <c r="G22" i="7"/>
  <c r="F22" i="7"/>
  <c r="E22" i="7"/>
  <c r="C22" i="7"/>
  <c r="D50" i="7" l="1"/>
  <c r="L24" i="6"/>
  <c r="L25" i="6" s="1"/>
  <c r="L27" i="6" s="1"/>
  <c r="M24" i="6"/>
  <c r="M25" i="6" s="1"/>
  <c r="S24" i="6"/>
  <c r="S25" i="6" s="1"/>
  <c r="N24" i="6"/>
  <c r="N25" i="6" s="1"/>
  <c r="T24" i="6"/>
  <c r="T25" i="6" s="1"/>
  <c r="X20" i="4"/>
  <c r="Z20" i="4" s="1"/>
  <c r="M26" i="6" l="1"/>
  <c r="M27" i="6"/>
  <c r="N27" i="6"/>
  <c r="N26" i="6"/>
  <c r="S27" i="6"/>
  <c r="S26" i="6"/>
  <c r="T26" i="6"/>
  <c r="T27" i="6"/>
  <c r="T11" i="4" l="1"/>
  <c r="W20" i="4"/>
  <c r="S11" i="4" s="1"/>
  <c r="X19" i="4"/>
  <c r="Z19" i="4" s="1"/>
  <c r="W19" i="4"/>
  <c r="S10" i="4" s="1"/>
  <c r="N36" i="6" s="1"/>
  <c r="N38" i="6" s="1"/>
  <c r="X18" i="4"/>
  <c r="Z18" i="4" s="1"/>
  <c r="T9" i="4" s="1"/>
  <c r="W18" i="4"/>
  <c r="X17" i="4"/>
  <c r="Z17" i="4" s="1"/>
  <c r="W17" i="4"/>
  <c r="Y16" i="4"/>
  <c r="X16" i="4"/>
  <c r="X15" i="4"/>
  <c r="Z15" i="4" s="1"/>
  <c r="W15" i="4"/>
  <c r="U11" i="4"/>
  <c r="U10" i="4"/>
  <c r="U9" i="4"/>
  <c r="U8" i="4"/>
  <c r="U7" i="4"/>
  <c r="U6" i="4"/>
  <c r="S9" i="4" l="1"/>
  <c r="N39" i="6"/>
  <c r="Z16" i="4"/>
  <c r="T7" i="4" s="1"/>
  <c r="S7" i="4"/>
  <c r="Y15" i="4"/>
  <c r="T6" i="4" s="1"/>
  <c r="S6" i="4"/>
  <c r="Y19" i="4"/>
  <c r="T10" i="4" s="1"/>
  <c r="S8" i="4"/>
  <c r="Y17" i="4"/>
  <c r="T8" i="4" s="1"/>
  <c r="L12" i="6" l="1"/>
  <c r="M12" i="6"/>
  <c r="S12" i="6"/>
  <c r="N12" i="6"/>
  <c r="N14" i="6" s="1"/>
  <c r="T12" i="6"/>
  <c r="T14" i="6" s="1"/>
  <c r="T16" i="6" s="1"/>
  <c r="D61" i="16" l="1"/>
  <c r="S14" i="6"/>
  <c r="S16" i="6" s="1"/>
  <c r="D58" i="16"/>
  <c r="M16" i="6"/>
  <c r="D62" i="16"/>
  <c r="D57" i="16"/>
  <c r="L14" i="6"/>
  <c r="L16" i="6" s="1"/>
  <c r="D59" i="16"/>
  <c r="N16" i="6"/>
  <c r="H62" i="16" l="1"/>
  <c r="I62" i="16"/>
  <c r="H57" i="16"/>
  <c r="I57" i="16"/>
  <c r="H58" i="16"/>
  <c r="I58" i="16"/>
  <c r="H59" i="16"/>
  <c r="I59" i="16"/>
  <c r="H61" i="16"/>
  <c r="I6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tc={E24FC55B-5901-4B81-9A64-C033ADA8E402}</author>
  </authors>
  <commentList>
    <comment ref="F25" authorId="0" shapeId="0" xr:uid="{E24FC55B-5901-4B81-9A64-C033ADA8E402}">
      <text>
        <t>[Threaded comment]
Your version of Excel allows you to read this threaded comment; however, any edits to it will get removed if the file is opened in a newer version of Excel. Learn more: https://go.microsoft.com/fwlink/?linkid=870924
Comment:
    DRES from spain missing for all</t>
      </text>
    </comment>
  </commentList>
</comments>
</file>

<file path=xl/sharedStrings.xml><?xml version="1.0" encoding="utf-8"?>
<sst xmlns="http://schemas.openxmlformats.org/spreadsheetml/2006/main" count="932" uniqueCount="434">
  <si>
    <t>Towards climate neutral and resilient energy networks across Europe</t>
  </si>
  <si>
    <t>advice on draft scenarios under the EU regulation on trans-European energy networks</t>
  </si>
  <si>
    <t>June, 2024</t>
  </si>
  <si>
    <t>This file provides the data and sources underpinning the benchmarking exercise in the main report, as well as supplementary material</t>
  </si>
  <si>
    <t>Indicator Type</t>
  </si>
  <si>
    <t xml:space="preserve">Relative Change  </t>
  </si>
  <si>
    <t xml:space="preserve">Absolute value </t>
  </si>
  <si>
    <t>Formula</t>
  </si>
  <si>
    <t>(Benchmark % change  / scenario % change)</t>
  </si>
  <si>
    <t>(Scenario indicator value / benchmark indicator value)</t>
  </si>
  <si>
    <t>The TYNDP indicator is going in the wrong direction / exceeds feasibility thresholds</t>
  </si>
  <si>
    <t>&lt;0</t>
  </si>
  <si>
    <t>Exceeds high feasibility threshold (ESABCC, 2023)</t>
  </si>
  <si>
    <t>This TYNDP indicator deviates significantly compared to the benchmark scenarios</t>
  </si>
  <si>
    <r>
      <rPr>
        <sz val="10"/>
        <color theme="1"/>
        <rFont val="Segoe UI"/>
        <family val="2"/>
      </rPr>
      <t>≥</t>
    </r>
    <r>
      <rPr>
        <sz val="10"/>
        <color theme="1"/>
        <rFont val="Segoe UI"/>
        <family val="2"/>
        <scheme val="minor"/>
      </rPr>
      <t>2</t>
    </r>
  </si>
  <si>
    <t>&gt;1.5</t>
  </si>
  <si>
    <t>The TYNDP indicator deviates somewhat compared to the benchmark scenario</t>
  </si>
  <si>
    <t>1.5-2</t>
  </si>
  <si>
    <t>1.25-1.5</t>
  </si>
  <si>
    <t>The TYNDP indicator is mostly aligned with the benchmark scenario</t>
  </si>
  <si>
    <t>1-1.5</t>
  </si>
  <si>
    <t>1-1.25</t>
  </si>
  <si>
    <t>The TYNDP indicator is aligned with the benchmark scenario</t>
  </si>
  <si>
    <t>≤1</t>
  </si>
  <si>
    <t>Within benchmark range (or within 10% for single value indicators)</t>
  </si>
  <si>
    <t>Indicator</t>
  </si>
  <si>
    <t>Sources and notes</t>
  </si>
  <si>
    <r>
      <t xml:space="preserve">Benchmarking method
</t>
    </r>
    <r>
      <rPr>
        <sz val="10"/>
        <color theme="3"/>
        <rFont val="Segoe UI"/>
        <family val="2"/>
        <scheme val="minor"/>
      </rPr>
      <t>(direction if using relative change)</t>
    </r>
  </si>
  <si>
    <t>Reference (for relative change variables)</t>
  </si>
  <si>
    <t>TYNDP (2019)</t>
  </si>
  <si>
    <t>ESABCC (2019)</t>
  </si>
  <si>
    <t>EC (S3)</t>
  </si>
  <si>
    <t>National Trends+</t>
  </si>
  <si>
    <t>ESABCC (low*)</t>
  </si>
  <si>
    <t>ESABCC (high*)</t>
  </si>
  <si>
    <t>Distributed Energy</t>
  </si>
  <si>
    <t>Global Ambition</t>
  </si>
  <si>
    <t>Electrification</t>
  </si>
  <si>
    <t>Note: Electricity share of final energy based on different scopes between ESABCC and EC:
ESABCC 
- TYNDP: Electricity share of Final Energy Demand (calculated from Figure 5)
- ESABCC: Variable: Final Energy|Electrification|Share. Note that the ESABCC's final energy scope is similar to the scope shown in Figure 5, including feedstocks (non-energy use), heat and international transport.
European Commission
- TYNDP: Electricity share of final energy consumption (Figure 41)
- EC: Electricity share of final energy consumption (Annex 8, Figure 32). The scope presented in this figure is more similar to that shown in Figure 41, although there is uncertainty about whether ambient heat is included here. It should be noted that alternative values for electrification are provided in Table 10 of the EC's 2040 Impact Assessment, with higher electrification rates than those calculated from the electricity share of final energy consumption. Using the electrification rates given in Table 10 would give higher electrification rates for EC S3 than shown here.</t>
  </si>
  <si>
    <t>Relative change
(+)</t>
  </si>
  <si>
    <t>Indicator value (FED) (%)</t>
  </si>
  <si>
    <t>-</t>
  </si>
  <si>
    <t>Indicator value (FEC) (%)</t>
  </si>
  <si>
    <t>% change compared to reference value (ESABCC)</t>
  </si>
  <si>
    <t>% change compared to reference value (EC)</t>
  </si>
  <si>
    <t>Ratio (ESABCC)</t>
  </si>
  <si>
    <t>Ratio (EC)</t>
  </si>
  <si>
    <t>Final Energy</t>
  </si>
  <si>
    <t>ESABCC (final energy scope includes international transport &amp; non-energy use)
- TYNDP: Final Energy Demand (Figure 5)
- ESABCC: Variable: Final Energy. As above, the ESABCC's final energy scope is similar to the scope shown in Figure 5, including feedstocks (non-energy use) and international transport.
European Commission.
- TYNDP: FEC (Figure 41)
- EC: FEC (Figure 32). As above, this is a similar scope shown to Figure 41</t>
  </si>
  <si>
    <t>Relative change
(-)</t>
  </si>
  <si>
    <t>Indicator value (ESABCC) (TWh)</t>
  </si>
  <si>
    <t>Indicator value (EC) (TWh)</t>
  </si>
  <si>
    <t>Primary energy</t>
  </si>
  <si>
    <t>TYNDP: Primary Energy Supply / Gross Available Energy (Figure 19). 2019 GAE value  from Eurostat energy balances used as reference value for comparability with benchmarks
ESABCC: Variable: Primary Energy
EC: Gross available energy by vector (Annex 8, Figure 14)</t>
  </si>
  <si>
    <t>Indicator value (TWh)</t>
  </si>
  <si>
    <t>% change compared to reference value</t>
  </si>
  <si>
    <t>Primary energy: non-biomass renewables</t>
  </si>
  <si>
    <t>For comparability, non-biomass renewables refers to the sum of wind, solar and hydro in the above sources</t>
  </si>
  <si>
    <t>Primary energy: fossil</t>
  </si>
  <si>
    <t>Sum of oil, gas and coal from the above sources</t>
  </si>
  <si>
    <t>Wind + Solar Installed Capacity</t>
  </si>
  <si>
    <t>TYNDP: Power capacity (Figure 25)
ESABCC: Installed capacity for solar, onshore and offshore wind (GW)
EC: 2030 RePower EU target used for 2030 benchmark based on ESABCC (2023), but no targets/benchmark for 2040 and 2050. EC IA only provides combined renewables capacity (i.e. incl. biomass, geothermal etc.), so these values have not been included for 2040 and 2050.</t>
  </si>
  <si>
    <t>Absolute values</t>
  </si>
  <si>
    <t>Indicator value (GW)</t>
  </si>
  <si>
    <t>Challenge level / Target</t>
  </si>
  <si>
    <t>Carbon Capture, Utilisation &amp; Storage</t>
  </si>
  <si>
    <t>TYNDP: Figure 39 (CCU for the production of synthethic fuels) &amp; Figure 45 (CCS). For Figure 39, only the capture capacity directly associated with these fuels is counted, rather than the maximum  capacity, which would result in higher estimates than shown. As stated in the draft scenarios report, Figure 39 is stated to be additional to Figure 45.
EC: Total carbon capture from S3 (Figure 10)
ESABCC: Variable: Carbon Capture, Use &amp; Sequestration'</t>
  </si>
  <si>
    <t>Indicator value (Mt CO2e)</t>
  </si>
  <si>
    <t>Feasibility threshold</t>
  </si>
  <si>
    <t>Hydrogen demand / supply</t>
  </si>
  <si>
    <t>TYNDP refers to hydrogen demand (at a sectoral level) interchangeably with hydrogen supply, which includes hydrogen used for transformation inputs. This is different to hydrogen final energy demand, and therefore, comparable benchmarks which also include such transformation inputs are: 
ESABCC: Variable 'Secondary Energy_Hydrogen'
EC: Consumption of hydrogen by sector (2040-2050) (Figure 31).
TYNDP: Hydrogen demand by sector (H2) (Figure 10 &amp; Figure 54)</t>
  </si>
  <si>
    <t>Hydrogen imports</t>
  </si>
  <si>
    <t>EC: Net imports by energy vector (Figure 15)
TYNDP: Hydrogen Supply (Figure 33 - excluding ammonia imports)
ESABCC: Generally not available in ESABCC scenarios, with zero or miniscule imports in available scenarios</t>
  </si>
  <si>
    <t>Hydrogen Domestic (Green) Production Capacity</t>
  </si>
  <si>
    <t>TYNDP: Electrolyser capacity (Figure 34)
ESABCC: Variable: Capacity_Hydrogen_Electricity. Feasibility thresholds for 2030 from ESABCC, 2023.
EC: Net installed storage and new fuels production capacity, 2015-2050 (Figure 34)</t>
  </si>
  <si>
    <t>Hydrogen: Domestic Green Hydrogen Production</t>
  </si>
  <si>
    <t>TYNDP: Hydrogen Supply (Figure 33), Power-to-Grid (P2G)
ESABCC: Variable: Secondary Energy_Hydrogen_Electricity
EC: Table 10 (Summary of key energy indicators)</t>
  </si>
  <si>
    <t>Hydrogen Production as % of final energy demand (ESABCC Indicator)</t>
  </si>
  <si>
    <t>Bespoke indicator used in ESABCC, 2023:
TYNDP: Calculated as Hydrogen supply divided by total Final Energy (as above, FED scope used for comparability with ESABCC final energy)
ESABCC: Variable: Hydrogen production|Final Energy|Share</t>
  </si>
  <si>
    <t>Indicator value (%)</t>
  </si>
  <si>
    <t>*Low and high refer to the lowest and highest ambition levels among the filtered scenarios that achieve 1) at least a 90% reduction in emissions, and 2) are within the environmental risk levels identified in the Advisory Board's 2040 advice.</t>
  </si>
  <si>
    <t>Fossil and gas power capacity</t>
  </si>
  <si>
    <t>Coal + Other fossil</t>
  </si>
  <si>
    <t>Oil</t>
  </si>
  <si>
    <t>Methane</t>
  </si>
  <si>
    <t>CHP and Small Thermal</t>
  </si>
  <si>
    <t>Hydrogen</t>
  </si>
  <si>
    <t>Scenario
(EU27 - TWh)</t>
  </si>
  <si>
    <t xml:space="preserve">Year </t>
  </si>
  <si>
    <t>share of renewable CH4</t>
  </si>
  <si>
    <t>share of renewable H2</t>
  </si>
  <si>
    <t>Methane (renewable)</t>
  </si>
  <si>
    <t>Hydrogen (renewable)</t>
  </si>
  <si>
    <t>Methane (non-renewable)</t>
  </si>
  <si>
    <t>Hydrogen (non-renewable)</t>
  </si>
  <si>
    <t>Coal, oil + other fossil</t>
  </si>
  <si>
    <t>Methane &amp; Hydrogen (Renewable)</t>
  </si>
  <si>
    <t>Methane &amp; Hydrogen (non-renewable)</t>
  </si>
  <si>
    <t>Total Fossil</t>
  </si>
  <si>
    <t xml:space="preserve">NT+ </t>
  </si>
  <si>
    <t>Fossil capacity (incl. fuel switching)</t>
  </si>
  <si>
    <t>EC</t>
  </si>
  <si>
    <t>DE</t>
  </si>
  <si>
    <t>GA</t>
  </si>
  <si>
    <t>Hydrogen Supply</t>
  </si>
  <si>
    <t>Green Hydrogen (P2G)</t>
  </si>
  <si>
    <t>Blue (SMR w/ CCS)</t>
  </si>
  <si>
    <t>Grey (SMR)</t>
  </si>
  <si>
    <t>Imports</t>
  </si>
  <si>
    <t>Other</t>
  </si>
  <si>
    <t>ESABCC</t>
  </si>
  <si>
    <t>NT+</t>
  </si>
  <si>
    <t>Electrification (FEC)</t>
  </si>
  <si>
    <t>Electrification (FED)</t>
  </si>
  <si>
    <t>EC (FEC)</t>
  </si>
  <si>
    <t>ESABCC (FED)</t>
  </si>
  <si>
    <t>Benchmark</t>
  </si>
  <si>
    <t>Comparison of greenhouse gas budget estimates, 2030-2050</t>
  </si>
  <si>
    <t>CO2</t>
  </si>
  <si>
    <t>Non-CO2</t>
  </si>
  <si>
    <t>LULUCF</t>
  </si>
  <si>
    <t>CCS</t>
  </si>
  <si>
    <t>Original</t>
  </si>
  <si>
    <t>Synthetic fuels</t>
  </si>
  <si>
    <t>Minerals</t>
  </si>
  <si>
    <t>Adjusted</t>
  </si>
  <si>
    <t>Data from the Draft TYNDP scenario report</t>
  </si>
  <si>
    <t>Figure 19: Primary energy supply mix, EU27 (TWh)</t>
  </si>
  <si>
    <t>Total energy supply (gross available energy including international maritime bunkers &amp; international aviation)</t>
  </si>
  <si>
    <t>EJ</t>
  </si>
  <si>
    <t>EU27 - TWh</t>
  </si>
  <si>
    <t>Historic*</t>
  </si>
  <si>
    <t>Gross available energy from Eurostat energy balances)</t>
  </si>
  <si>
    <t>Natural gas****</t>
  </si>
  <si>
    <t>Imported H2 green (inc Ammonia)</t>
  </si>
  <si>
    <t>Imported H2 low carbon</t>
  </si>
  <si>
    <t>Imported biofuels</t>
  </si>
  <si>
    <t>Undefined hydrogen**</t>
  </si>
  <si>
    <t>Imported synthetic methane</t>
  </si>
  <si>
    <t>Coal</t>
  </si>
  <si>
    <t xml:space="preserve">Biomass </t>
  </si>
  <si>
    <t>Nuclear</t>
  </si>
  <si>
    <t>Hydro (excl pump storage)</t>
  </si>
  <si>
    <t>Solar</t>
  </si>
  <si>
    <t>Wind</t>
  </si>
  <si>
    <t>Other RES***</t>
  </si>
  <si>
    <t>TOTAL</t>
  </si>
  <si>
    <t>Fossil</t>
  </si>
  <si>
    <t>Renewables</t>
  </si>
  <si>
    <t>Non-bio renewables (ESABCC scope)</t>
  </si>
  <si>
    <t>Biomass</t>
  </si>
  <si>
    <t>* Historic data is coming from Eurostat</t>
  </si>
  <si>
    <t>** The supply of H2 required for Power Generation wasn't explicitly modeled for the National Trends+ scenario. Therefore, it refered as 'undefined', meaning either import or domestic production.</t>
  </si>
  <si>
    <t>*** Other Res includes Tide,wave, ocean, geothermal &amp; additionally ambient heat for historic datasets</t>
  </si>
  <si>
    <t>**** Historic value includes non-renewable waste</t>
  </si>
  <si>
    <t>Historic</t>
  </si>
  <si>
    <t>Unspecified hydrogen*</t>
  </si>
  <si>
    <t>Off-grid hydrogen production**</t>
  </si>
  <si>
    <t>HISTORIC:</t>
  </si>
  <si>
    <t>https://ec.europa.eu/eurostat/cache/infographs/energy_balances/enbal.html?geo=EU27_2020&amp;unit=GWH&amp;language=EN&amp;year=2022&amp;fuel=fuelMainFuel&amp;siec=TOTAL&amp;details=0&amp;chartOptions=0&amp;stacking=normal&amp;chartBal=NRGSUP&amp;chart=barCart&amp;full=1&amp;chartBalText=&amp;order=DESC&amp;siecs=TOTAL,C0000X0350-0370,C0350-0370,E7000,S2000,G3000,H8000,N900H,O4000XBIO,P1000,RA000,W6100_6220&amp;dataset=nrg_bal_s&amp;decimals=0&amp;agregates=0&amp;fuelList=fuelElectricity,fuelCombustible,fuelNonCombustible,fuelOtherPetroleum,fuelMainPetroleum,fuelOil,fuelOtherFossil,fuelFossil,fuelCoal,fuelMainFuel</t>
  </si>
  <si>
    <t>Total energy supply (gross available energy including international maritime bunkers and international aviation)</t>
  </si>
  <si>
    <t>Ambient Heat</t>
  </si>
  <si>
    <t>*EU27 Total Primary energy supply (including international maritime bunkers &amp; international aviation &amp; non-energy use)</t>
  </si>
  <si>
    <t>Other non-RES***</t>
  </si>
  <si>
    <t>SPAIN ADDITIONAL</t>
  </si>
  <si>
    <t xml:space="preserve">Off-grid electricity production </t>
  </si>
  <si>
    <t>solar - 60%</t>
  </si>
  <si>
    <t>wind onshore - 40%</t>
  </si>
  <si>
    <t>SPAIN - ENEGAS - NT DRES FIGURES</t>
  </si>
  <si>
    <t>DRES:</t>
  </si>
  <si>
    <t>Total</t>
  </si>
  <si>
    <t>Mix</t>
  </si>
  <si>
    <t>Hours</t>
  </si>
  <si>
    <t>Power - GW</t>
  </si>
  <si>
    <t>Electricity supply - TWh</t>
  </si>
  <si>
    <t>Off-grid electrolysers:</t>
  </si>
  <si>
    <t>hours</t>
  </si>
  <si>
    <t>GW</t>
  </si>
  <si>
    <t>In</t>
  </si>
  <si>
    <t>Out</t>
  </si>
  <si>
    <r>
      <t xml:space="preserve">Batteries </t>
    </r>
    <r>
      <rPr>
        <sz val="10"/>
        <color theme="1"/>
        <rFont val="Verdana"/>
        <family val="2"/>
      </rPr>
      <t>7.6 GW</t>
    </r>
  </si>
  <si>
    <r>
      <t xml:space="preserve">H2 Production </t>
    </r>
    <r>
      <rPr>
        <sz val="10"/>
        <color theme="1"/>
        <rFont val="Verdana"/>
        <family val="2"/>
      </rPr>
      <t>52 TWh (1,56Mt)</t>
    </r>
  </si>
  <si>
    <r>
      <t xml:space="preserve">Batteries </t>
    </r>
    <r>
      <rPr>
        <sz val="10"/>
        <color theme="1"/>
        <rFont val="Verdana"/>
        <family val="2"/>
      </rPr>
      <t>19.6 GW</t>
    </r>
  </si>
  <si>
    <r>
      <t>H2 Production</t>
    </r>
    <r>
      <rPr>
        <sz val="10"/>
        <color theme="1"/>
        <rFont val="Verdana"/>
        <family val="2"/>
      </rPr>
      <t xml:space="preserve"> 133 TWh (3,99Mt)</t>
    </r>
  </si>
  <si>
    <t xml:space="preserve">Data from the Advisory Board's filtered 2040 scenarios </t>
  </si>
  <si>
    <t>Variable: Primary Energy (by fuel)</t>
  </si>
  <si>
    <t>TWh</t>
  </si>
  <si>
    <t>non-bio renewables</t>
  </si>
  <si>
    <t>Data from the EC's 2040 Impact Assessment</t>
  </si>
  <si>
    <t>Annex 8, Figure 14: Gross Available Energy by energy vector, 2015-2050</t>
  </si>
  <si>
    <t>Mtoe</t>
  </si>
  <si>
    <t>Geothermal</t>
  </si>
  <si>
    <t>Hydro</t>
  </si>
  <si>
    <t>Gas</t>
  </si>
  <si>
    <t>Electricity imports</t>
  </si>
  <si>
    <t>Others</t>
  </si>
  <si>
    <t>PV</t>
  </si>
  <si>
    <t>Non-bio renewables</t>
  </si>
  <si>
    <t>S1</t>
  </si>
  <si>
    <t>S2</t>
  </si>
  <si>
    <t>S3</t>
  </si>
  <si>
    <t>LIFE</t>
  </si>
  <si>
    <t>Note: Biomass and waste include non-renewable waste. Natural gas includes also manufactured gas.</t>
  </si>
  <si>
    <t>From Table 10: GAE does not include ambient heat</t>
  </si>
  <si>
    <t>Source: PRIMES.</t>
  </si>
  <si>
    <t>Figure 5: Final energy demand per carrier, EU27 (TWh)</t>
  </si>
  <si>
    <t>Reference</t>
  </si>
  <si>
    <t>National Trends +</t>
  </si>
  <si>
    <t>Electricity</t>
  </si>
  <si>
    <t>Heat</t>
  </si>
  <si>
    <t>Biofuels</t>
  </si>
  <si>
    <t>Solids</t>
  </si>
  <si>
    <t>Liquids</t>
  </si>
  <si>
    <t>Hydrogen demand (production) - as shown in Figure 10</t>
  </si>
  <si>
    <t>All sectors, including energy sector, non-energy use, international aviation and international shipping</t>
  </si>
  <si>
    <t>Reference year is excluding international shipping</t>
  </si>
  <si>
    <t>Reference is from the Energy Transition Model - ETM</t>
  </si>
  <si>
    <t>Others include geothermal, industrial excess heat, power to gas excess heat and solar</t>
  </si>
  <si>
    <t>Electrification %</t>
  </si>
  <si>
    <t>Hydrogen %</t>
  </si>
  <si>
    <t>Variable: Final Energy|Electrification|Share</t>
  </si>
  <si>
    <t>Min</t>
  </si>
  <si>
    <t>%</t>
  </si>
  <si>
    <t>Max</t>
  </si>
  <si>
    <t>Variable: Final Energy</t>
  </si>
  <si>
    <t>EJ/yr</t>
  </si>
  <si>
    <t>Variable: Hydrogen production|Final Energy|Share</t>
  </si>
  <si>
    <t>Final Energy Consumption Target Compliance (TWh)</t>
  </si>
  <si>
    <t>Final Energy Consumption* (TWh)</t>
  </si>
  <si>
    <t>Energy Carriers</t>
  </si>
  <si>
    <t>EC IA</t>
  </si>
  <si>
    <t>TYNDP NT</t>
  </si>
  <si>
    <t>TYNDP NT+</t>
  </si>
  <si>
    <t>EC FF55</t>
  </si>
  <si>
    <t>EC RePowerEU</t>
  </si>
  <si>
    <t>TYNDP DE</t>
  </si>
  <si>
    <t>TYNDP GA</t>
  </si>
  <si>
    <t>EC IA S3</t>
  </si>
  <si>
    <t>Solid</t>
  </si>
  <si>
    <t>District Heating</t>
  </si>
  <si>
    <t>FEC</t>
  </si>
  <si>
    <t>European Commission values)</t>
  </si>
  <si>
    <t>From Figure 32 (calculated)</t>
  </si>
  <si>
    <t xml:space="preserve">From Table 10: </t>
  </si>
  <si>
    <r>
      <t xml:space="preserve"> * FEC for the EC studies excludes energy branch, international shipping, ambient heat, non-energy and includes aviation.</t>
    </r>
    <r>
      <rPr>
        <b/>
        <i/>
        <u/>
        <sz val="11"/>
        <color theme="1"/>
        <rFont val="Segoe UI"/>
        <family val="2"/>
        <scheme val="minor"/>
      </rPr>
      <t xml:space="preserve"> TYNDP analysis follows the same approach, additionally part of energy branch is included (as some are reported under industry)</t>
    </r>
  </si>
  <si>
    <t>TYNDP NT+ figures are adjusted according to the consulted 'gap filling methodology'. Solid is only coal, liquids represent only oil and renewables includes; biofuels, biogas, geothermal, excess heat, biomethane, waste and other renewables</t>
  </si>
  <si>
    <t>Hydrogen includes ammonia production for TYNDP scenarios</t>
  </si>
  <si>
    <t>DE &amp; GA scenarios synfuels and biomethane are distributed under methane and liquid demands, Solid includes coal and renewables only includes some biofuels and biomass</t>
  </si>
  <si>
    <t>Ambient heat from heat pumps in District Heating is excluded for National Trends</t>
  </si>
  <si>
    <t>Annex 8, Figure 32: Final Energy Consumption by fuel, 2015-2050</t>
  </si>
  <si>
    <t>Distric Heating</t>
  </si>
  <si>
    <t>Total (Mtoe)</t>
  </si>
  <si>
    <t>Electricity (TWh)</t>
  </si>
  <si>
    <t>Total (TWh)</t>
  </si>
  <si>
    <t>IA, Table 10</t>
  </si>
  <si>
    <t>Original Data from the Draft TYNDP scenario report</t>
  </si>
  <si>
    <t>Figure 46: Cumulative GHG emissions Distributed Energy, EU27 (Mt)</t>
  </si>
  <si>
    <t>CO2 Emissions</t>
  </si>
  <si>
    <t>Other Emissions</t>
  </si>
  <si>
    <t>Carbon budget cumulative 2030 - 2050</t>
  </si>
  <si>
    <t>Carbon budget target (value in 2022)</t>
  </si>
  <si>
    <t>Figure 47: Cumulative GHG emissions Global Ambition, EU27 (Mt)</t>
  </si>
  <si>
    <t>Adjustments to original budget</t>
  </si>
  <si>
    <r>
      <rPr>
        <b/>
        <u/>
        <sz val="11"/>
        <color theme="1"/>
        <rFont val="Segoe UI"/>
        <family val="2"/>
        <scheme val="minor"/>
      </rPr>
      <t>Distributed Energy</t>
    </r>
    <r>
      <rPr>
        <b/>
        <sz val="11"/>
        <color theme="1"/>
        <rFont val="Segoe UI"/>
        <family val="2"/>
        <scheme val="minor"/>
      </rPr>
      <t xml:space="preserve"> Annual Emissions</t>
    </r>
  </si>
  <si>
    <t>2030-2050 GHG budget</t>
  </si>
  <si>
    <t>Source</t>
  </si>
  <si>
    <t>CO2 Emissions*</t>
  </si>
  <si>
    <r>
      <t xml:space="preserve">Annual </t>
    </r>
    <r>
      <rPr>
        <b/>
        <i/>
        <sz val="11"/>
        <color theme="0"/>
        <rFont val="Segoe UI"/>
        <family val="2"/>
        <scheme val="minor"/>
      </rPr>
      <t xml:space="preserve">net </t>
    </r>
    <r>
      <rPr>
        <b/>
        <sz val="11"/>
        <color theme="0"/>
        <rFont val="Segoe UI"/>
        <family val="2"/>
        <scheme val="minor"/>
      </rPr>
      <t>emissions (original)</t>
    </r>
  </si>
  <si>
    <t>Excluded gross* emissions from mineral production</t>
  </si>
  <si>
    <t>Annual net emissions (adjusted estimate)</t>
  </si>
  <si>
    <r>
      <rPr>
        <b/>
        <u/>
        <sz val="11"/>
        <color theme="1"/>
        <rFont val="Segoe UI"/>
        <family val="2"/>
        <scheme val="minor"/>
      </rPr>
      <t>Global Amibition</t>
    </r>
    <r>
      <rPr>
        <b/>
        <sz val="11"/>
        <color theme="1"/>
        <rFont val="Segoe UI"/>
        <family val="2"/>
        <scheme val="minor"/>
      </rPr>
      <t xml:space="preserve"> Annual Emissions</t>
    </r>
  </si>
  <si>
    <t>Annual net emissions (original)</t>
  </si>
  <si>
    <t>CCU capacity counted as CCS</t>
  </si>
  <si>
    <t>Ommited gross* emissions from  mineral products (a)</t>
  </si>
  <si>
    <t>Correction for CCS volumes contained in EC's 2040 Impact Assessment</t>
  </si>
  <si>
    <t>Adjustment to CCS capacity (from EC 2040 IA Scenario 3)</t>
  </si>
  <si>
    <t xml:space="preserve">Total capture volumes from EC 2040 Impact Assessment, capped at 400 Mt (labelled as CCS above) </t>
  </si>
  <si>
    <t>Underground storage</t>
  </si>
  <si>
    <t>Annex 8, Figure 10 (Carbon captured by end application)</t>
  </si>
  <si>
    <t>Materials</t>
  </si>
  <si>
    <t>Net adjustment to carbon budget</t>
  </si>
  <si>
    <t>Adjustment for mineral products (from EC 2040 IA Scenario 3)</t>
  </si>
  <si>
    <t>Net Emissions</t>
  </si>
  <si>
    <t>Annex 8, Figure 53 (Process CO2 emissions in industry by sector)</t>
  </si>
  <si>
    <t>Captured (&amp; stored)</t>
  </si>
  <si>
    <t xml:space="preserve">Annex 8, Figure 54: Carbon captured in industrial processes. </t>
  </si>
  <si>
    <t>Gross Emissions</t>
  </si>
  <si>
    <t>(a) As CCS volumes are included as a negative line in the GHG budget calculation (which includes CCS from industrial processes), CO2 emissions from non-metallic mineral production are also presented in gross terms (i.e. pre-capture) for consistency</t>
  </si>
  <si>
    <r>
      <t>Figure 39: Biogenic CO2</t>
    </r>
    <r>
      <rPr>
        <b/>
        <u/>
        <sz val="10"/>
        <color theme="1"/>
        <rFont val="Segoe UI"/>
        <family val="2"/>
        <scheme val="minor"/>
      </rPr>
      <t xml:space="preserve"> captured &amp; used</t>
    </r>
    <r>
      <rPr>
        <b/>
        <sz val="10"/>
        <color theme="1"/>
        <rFont val="Segoe UI"/>
        <family val="2"/>
        <scheme val="minor"/>
      </rPr>
      <t xml:space="preserve"> for synthetic fuels, EU27 (mio tonnes)</t>
    </r>
  </si>
  <si>
    <t>E-Diesel</t>
  </si>
  <si>
    <t>E-Kerosene</t>
  </si>
  <si>
    <t>Synthetic methane</t>
  </si>
  <si>
    <t>Potential</t>
  </si>
  <si>
    <t>Total (identified)</t>
  </si>
  <si>
    <r>
      <t xml:space="preserve">Figure 45: Carbon Capture </t>
    </r>
    <r>
      <rPr>
        <b/>
        <u/>
        <sz val="10"/>
        <color theme="1"/>
        <rFont val="Segoe UI"/>
        <family val="2"/>
        <scheme val="minor"/>
      </rPr>
      <t>and Storage</t>
    </r>
    <r>
      <rPr>
        <b/>
        <sz val="10"/>
        <color theme="1"/>
        <rFont val="Segoe UI"/>
        <family val="2"/>
        <scheme val="minor"/>
      </rPr>
      <t>, EU27 (Mt)</t>
    </r>
  </si>
  <si>
    <t>2050*</t>
  </si>
  <si>
    <t>*Capped at 400 Mt in the grenhouse gas budget assessment so as not to exceed fossil emissions</t>
  </si>
  <si>
    <t>2040*</t>
  </si>
  <si>
    <t>CCUS (CCU levels based on e-fuel production only)</t>
  </si>
  <si>
    <t>CCUS (CCU levels based on biogenic capture potential)</t>
  </si>
  <si>
    <t>*As CCS assumed the same between GA and NT+, CCU assumed the same</t>
  </si>
  <si>
    <t>Figure 2: Carbon removals by source and use</t>
  </si>
  <si>
    <t>Removals</t>
  </si>
  <si>
    <t>Power Gen. (BECCS)</t>
  </si>
  <si>
    <t>DACCS Underground</t>
  </si>
  <si>
    <t>DACCS in Materials</t>
  </si>
  <si>
    <t>Biogenic in Materials</t>
  </si>
  <si>
    <t>Figure 9: Carbon captured by source</t>
  </si>
  <si>
    <t>Captured</t>
  </si>
  <si>
    <t>Power Gen. (FF)</t>
  </si>
  <si>
    <t>Ind. Processes</t>
  </si>
  <si>
    <t>DACC</t>
  </si>
  <si>
    <t>Biogenic</t>
  </si>
  <si>
    <r>
      <t xml:space="preserve">Figure 10: </t>
    </r>
    <r>
      <rPr>
        <b/>
        <u/>
        <sz val="11"/>
        <color theme="1"/>
        <rFont val="Segoe UI"/>
        <family val="2"/>
        <scheme val="minor"/>
      </rPr>
      <t>Carbon Captured</t>
    </r>
    <r>
      <rPr>
        <b/>
        <sz val="11"/>
        <color theme="1"/>
        <rFont val="Segoe UI"/>
        <family val="2"/>
        <scheme val="minor"/>
      </rPr>
      <t xml:space="preserve"> by end application</t>
    </r>
  </si>
  <si>
    <t>Carbon Budget Classification</t>
  </si>
  <si>
    <t>Underground Storage</t>
  </si>
  <si>
    <t xml:space="preserve">Feedstock for Synthetic Fuels </t>
  </si>
  <si>
    <t>CCU</t>
  </si>
  <si>
    <t>Storage in Materials</t>
  </si>
  <si>
    <t>CCU (depends on durability; some storage in durable materials included as carbon removals in the EC's impact assessment )</t>
  </si>
  <si>
    <t>Total Carbon Capture</t>
  </si>
  <si>
    <t>CCUS</t>
  </si>
  <si>
    <t>Comparison of CCS and CCU levels in the 2040 Impact Assessment and draft scenarios report</t>
  </si>
  <si>
    <t>CCS (underground storage)</t>
  </si>
  <si>
    <t>CCS (materials)</t>
  </si>
  <si>
    <t>CCU (synthetic fuels)</t>
  </si>
  <si>
    <t>Labelled as CCS (Fig 45)</t>
  </si>
  <si>
    <t>Additional CCU for synthetic fuels (Fig 39)</t>
  </si>
  <si>
    <t>Additional CCU potential (Fig 39)</t>
  </si>
  <si>
    <t>EC S3</t>
  </si>
  <si>
    <t>Figure 25: Power capacity mix, EU27 (GW)</t>
  </si>
  <si>
    <t>Scenario
(EU27 - GW)</t>
  </si>
  <si>
    <t>Wind Onshore</t>
  </si>
  <si>
    <t>Wind Offshore</t>
  </si>
  <si>
    <t>Small Scale RES</t>
  </si>
  <si>
    <t>Hydro and pumped storage</t>
  </si>
  <si>
    <t>Battery</t>
  </si>
  <si>
    <t>Demand shedding</t>
  </si>
  <si>
    <t>RES</t>
  </si>
  <si>
    <t>Fossil Fuel</t>
  </si>
  <si>
    <t>RES (excl. hydrogen &amp; methane)</t>
  </si>
  <si>
    <t>Wind + solar</t>
  </si>
  <si>
    <t>Fossil (excl. gas fuel switching)</t>
  </si>
  <si>
    <t>renewable CH4</t>
  </si>
  <si>
    <t>renewable H2</t>
  </si>
  <si>
    <t>nonrenewable CH4</t>
  </si>
  <si>
    <t>nonrenewable H2</t>
  </si>
  <si>
    <t xml:space="preserve">Variable: </t>
  </si>
  <si>
    <t>Wind + Solar</t>
  </si>
  <si>
    <t>Figure 21: Net installed capacity by energy carrier, 2015-2050</t>
  </si>
  <si>
    <t>Fossil fuels</t>
  </si>
  <si>
    <t>Figure 10: Hydrogen demand per sector, EU27 (TWh)</t>
  </si>
  <si>
    <t>Residential&amp;Tertiary</t>
  </si>
  <si>
    <t>Transport</t>
  </si>
  <si>
    <t>Industry</t>
  </si>
  <si>
    <t>Agriculture</t>
  </si>
  <si>
    <t>Power Generation</t>
  </si>
  <si>
    <t>Non-energy use</t>
  </si>
  <si>
    <t>e-fuels</t>
  </si>
  <si>
    <t>International maritime bunkers</t>
  </si>
  <si>
    <t>Coke ovens, blast furnaces, refneries are included in the Industry sector.</t>
  </si>
  <si>
    <t>For Distibuted Energy and Global Ambition scenarios, Others usually include the construction sector, the army, the hydrological sector.</t>
  </si>
  <si>
    <t>Power Generation includes electricity generation and district heating</t>
  </si>
  <si>
    <t>Figure 54: Benchmark Hydrogen demand by sector, EU27 (TWh)</t>
  </si>
  <si>
    <t>International aviation</t>
  </si>
  <si>
    <t>International shipping</t>
  </si>
  <si>
    <t>Non-energy</t>
  </si>
  <si>
    <t>e-fuels production</t>
  </si>
  <si>
    <t>Residential and Tertiary</t>
  </si>
  <si>
    <t>Electricity generation and heat production</t>
  </si>
  <si>
    <t>Sum</t>
  </si>
  <si>
    <t>not available</t>
  </si>
  <si>
    <t>Industry sector excludes non-energy use (reported as a separate category).</t>
  </si>
  <si>
    <t>For DE and GA, the industry sector includes refineries.</t>
  </si>
  <si>
    <t>Transport excludes international aviation and international shipping (reported as separate categories).</t>
  </si>
  <si>
    <t>For DE and GA, the "Other" category includes the construction sector, the army, the hydrological sector.</t>
  </si>
  <si>
    <t>Figure 33: Hydrogen supply, EU27 (TWh)</t>
  </si>
  <si>
    <t>Current</t>
  </si>
  <si>
    <t>Y</t>
  </si>
  <si>
    <t>Undefined for generation*</t>
  </si>
  <si>
    <t>L</t>
  </si>
  <si>
    <t>Low carbon imports</t>
  </si>
  <si>
    <t>Renewable imports</t>
  </si>
  <si>
    <t>Ammonia imports</t>
  </si>
  <si>
    <t>N</t>
  </si>
  <si>
    <t>SMR (Grey)</t>
  </si>
  <si>
    <t>SMR with CCS (Blue)</t>
  </si>
  <si>
    <t xml:space="preserve">P2G </t>
  </si>
  <si>
    <t>Bi product</t>
  </si>
  <si>
    <t>* The supply of H2 required for Power Generation wasn't explicitly modeled for the National Trends+ scenario. Therefore, it refered as 'undefined', meaning either import or domestic production.</t>
  </si>
  <si>
    <t>Low carbon</t>
  </si>
  <si>
    <t>SUM</t>
  </si>
  <si>
    <t>RES-share</t>
  </si>
  <si>
    <t>Low carbon share</t>
  </si>
  <si>
    <t>fossil share</t>
  </si>
  <si>
    <t>Green (P2G)</t>
  </si>
  <si>
    <t>Domestic</t>
  </si>
  <si>
    <t>Figure 32: Final Energy Consumption by fuel, 2015-2050</t>
  </si>
  <si>
    <t>Note: Based on EED FEC scope</t>
  </si>
  <si>
    <t>Figure 31: Consumption of hydrogen by sector, 2040 2050</t>
  </si>
  <si>
    <t>Notes: Includes consumption for feedstocks</t>
  </si>
  <si>
    <t>Table 6: Energy indicators</t>
  </si>
  <si>
    <t>Hydrogen Production (renewable) (Mtoe)</t>
  </si>
  <si>
    <t>Hydrogen Production (renewable) (TWh)</t>
  </si>
  <si>
    <t>Hydrogen Production (renewable) (Mt)</t>
  </si>
  <si>
    <t>Figure 15: Net imports by energy vector, 2015-2050 (Mtoe)</t>
  </si>
  <si>
    <t xml:space="preserve">Biomass  </t>
  </si>
  <si>
    <t>Natural gas</t>
  </si>
  <si>
    <t>Mt</t>
  </si>
  <si>
    <t>Variable: Secondary Energy|Hydrogen</t>
  </si>
  <si>
    <t>Variable: Secondary Energy _ Hydrogen _ Electricity</t>
  </si>
  <si>
    <t>Variable: Secondary Energy _ Hydrogen _ Fossil</t>
  </si>
  <si>
    <t>As TYNDP Figure 10 of hydrogen use by sector is equal to hydrogen supply, this is also a comparable benchmark for hydrogen demand (i.e. as a pre-transformation input)</t>
  </si>
  <si>
    <t>total hydrogen production (EJ/yr)</t>
  </si>
  <si>
    <t>hydrogen production from electricity via electrolysis (EJ/yr)</t>
  </si>
  <si>
    <t>hydrogen production from fossil fuels (EJ/yr)</t>
  </si>
  <si>
    <t>Variable: Final Energy - Hydrogen</t>
  </si>
  <si>
    <t>Variable: Final Energy _ Industry _ Hydrogen</t>
  </si>
  <si>
    <t>Variable: Final Energy _ Residential &amp; commercial _ Hydrogen</t>
  </si>
  <si>
    <t>Variable: Final Energy _ Transportation _ Hydrogen</t>
  </si>
  <si>
    <t xml:space="preserve">final energy consumption of hydrogen, excluding transmission/distribution losses (EJ/yr).
</t>
  </si>
  <si>
    <t>Figure 34:</t>
  </si>
  <si>
    <t>Electrolysis capacity, EU27 (GW)</t>
  </si>
  <si>
    <t>Scenario</t>
  </si>
  <si>
    <t>Year</t>
  </si>
  <si>
    <t>Market and hybrid RES</t>
  </si>
  <si>
    <t>Dedicated RES</t>
  </si>
  <si>
    <t>National Trends</t>
  </si>
  <si>
    <t>Figure 23: Net installed storage and new fuels production capacity, 2015-2050</t>
  </si>
  <si>
    <t>Batteries</t>
  </si>
  <si>
    <t>Pumped-hydro storage</t>
  </si>
  <si>
    <t>Electrolyzers</t>
  </si>
  <si>
    <t>Power-to-gas</t>
  </si>
  <si>
    <t>Power-to-liquid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</si>
</sst>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0.00\ _€_-;\-* #,##0.00\ _€_-;_-* &quot;-&quot;??\ _€_-;_-@_-"/>
    <numFmt numFmtId="166" formatCode="_-* #,##0_-;\-* #,##0_-;_-* &quot;-&quot;??_-;_-@_-"/>
    <numFmt numFmtId="167" formatCode="0.0"/>
    <numFmt numFmtId="168" formatCode="0.000"/>
    <numFmt numFmtId="169" formatCode="_-* #,##0\ _€_-;\-* #,##0\ _€_-;_-* &quot;-&quot;??\ _€_-;_-@_-"/>
    <numFmt numFmtId="170" formatCode="#,##0.000"/>
    <numFmt numFmtId="171" formatCode="_-* #,##0.0_-;\-* #,##0.0_-;_-* &quot;-&quot;??_-;_-@_-"/>
    <numFmt numFmtId="172" formatCode="0.0%"/>
    <numFmt numFmtId="173" formatCode="_ * #,##0_ ;_ * \-#,##0_ ;_ * &quot;-&quot;??_ ;_ @_ "/>
    <numFmt numFmtId="174" formatCode="#,##0.0"/>
  </numFmts>
  <fonts count="68">
    <font>
      <sz val="10"/>
      <color theme="1"/>
      <name val="Segoe UI"/>
      <family val="2"/>
      <scheme val="minor"/>
    </font>
    <font>
      <sz val="11"/>
      <color theme="1"/>
      <name val="Segoe UI"/>
      <family val="2"/>
      <scheme val="minor"/>
    </font>
    <font>
      <sz val="10"/>
      <color theme="1"/>
      <name val="Segoe UI"/>
      <family val="2"/>
      <scheme val="minor"/>
    </font>
    <font>
      <b/>
      <sz val="10"/>
      <color theme="1"/>
      <name val="Segoe UI"/>
      <family val="2"/>
      <scheme val="minor"/>
    </font>
    <font>
      <sz val="11"/>
      <color theme="1"/>
      <name val="Segoe UI"/>
      <family val="2"/>
      <scheme val="minor"/>
    </font>
    <font>
      <b/>
      <sz val="11"/>
      <color theme="1"/>
      <name val="Segoe UI"/>
      <family val="2"/>
      <scheme val="minor"/>
    </font>
    <font>
      <sz val="11"/>
      <color theme="1"/>
      <name val="Segoe UI"/>
      <family val="2"/>
      <charset val="1"/>
      <scheme val="minor"/>
    </font>
    <font>
      <sz val="11"/>
      <color rgb="FFFF0000"/>
      <name val="Segoe UI"/>
      <family val="2"/>
      <charset val="1"/>
      <scheme val="minor"/>
    </font>
    <font>
      <b/>
      <sz val="11"/>
      <name val="Segoe UI"/>
      <family val="2"/>
      <scheme val="minor"/>
    </font>
    <font>
      <i/>
      <sz val="11"/>
      <name val="Segoe UI"/>
      <family val="2"/>
      <scheme val="minor"/>
    </font>
    <font>
      <i/>
      <sz val="11"/>
      <color theme="1"/>
      <name val="Segoe UI"/>
      <family val="2"/>
      <scheme val="minor"/>
    </font>
    <font>
      <i/>
      <sz val="10"/>
      <color theme="1"/>
      <name val="Segoe UI"/>
      <family val="2"/>
      <scheme val="minor"/>
    </font>
    <font>
      <i/>
      <sz val="10"/>
      <name val="Segoe UI"/>
      <family val="2"/>
      <scheme val="minor"/>
    </font>
    <font>
      <sz val="11"/>
      <name val="Segoe UI"/>
      <family val="2"/>
      <scheme val="minor"/>
    </font>
    <font>
      <sz val="11"/>
      <color theme="1"/>
      <name val="Calibri"/>
      <family val="2"/>
    </font>
    <font>
      <b/>
      <sz val="11"/>
      <color theme="1"/>
      <name val="Calibri"/>
      <family val="2"/>
    </font>
    <font>
      <sz val="11"/>
      <name val="Calibri"/>
      <family val="2"/>
    </font>
    <font>
      <b/>
      <i/>
      <u/>
      <sz val="11"/>
      <color theme="1"/>
      <name val="Segoe UI"/>
      <family val="2"/>
      <scheme val="minor"/>
    </font>
    <font>
      <u/>
      <sz val="11"/>
      <color theme="10"/>
      <name val="Segoe UI"/>
      <family val="2"/>
      <scheme val="minor"/>
    </font>
    <font>
      <b/>
      <i/>
      <sz val="11"/>
      <color theme="1"/>
      <name val="Segoe UI"/>
      <family val="2"/>
      <scheme val="minor"/>
    </font>
    <font>
      <b/>
      <sz val="10"/>
      <color rgb="FF4472C4"/>
      <name val="Verdana"/>
      <family val="2"/>
    </font>
    <font>
      <b/>
      <sz val="10"/>
      <color theme="1"/>
      <name val="Verdana"/>
      <family val="2"/>
    </font>
    <font>
      <sz val="10"/>
      <color theme="1"/>
      <name val="Verdana"/>
      <family val="2"/>
    </font>
    <font>
      <sz val="11"/>
      <color rgb="FFFF0000"/>
      <name val="Segoe UI"/>
      <family val="2"/>
      <scheme val="minor"/>
    </font>
    <font>
      <sz val="11"/>
      <color theme="0"/>
      <name val="Segoe UI"/>
      <family val="2"/>
      <scheme val="minor"/>
    </font>
    <font>
      <b/>
      <sz val="11"/>
      <color theme="0"/>
      <name val="Segoe UI"/>
      <family val="2"/>
      <scheme val="minor"/>
    </font>
    <font>
      <sz val="10"/>
      <name val="Segoe UI"/>
      <family val="2"/>
      <scheme val="minor"/>
    </font>
    <font>
      <b/>
      <sz val="11"/>
      <color rgb="FFFF0000"/>
      <name val="Segoe UI"/>
      <family val="2"/>
      <scheme val="minor"/>
    </font>
    <font>
      <sz val="10"/>
      <color theme="0"/>
      <name val="Segoe UI"/>
      <family val="2"/>
      <scheme val="minor"/>
    </font>
    <font>
      <sz val="10"/>
      <color theme="1"/>
      <name val="Segoe UI"/>
      <family val="2"/>
    </font>
    <font>
      <b/>
      <sz val="10"/>
      <color theme="3"/>
      <name val="Segoe UI"/>
      <family val="2"/>
      <scheme val="minor"/>
    </font>
    <font>
      <sz val="10"/>
      <color theme="3"/>
      <name val="Segoe UI"/>
      <family val="2"/>
      <scheme val="minor"/>
    </font>
    <font>
      <sz val="10"/>
      <color theme="1"/>
      <name val="Aptos Narrow"/>
      <family val="2"/>
    </font>
    <font>
      <b/>
      <sz val="18"/>
      <color theme="1"/>
      <name val="Segoe UI"/>
      <family val="2"/>
      <scheme val="minor"/>
    </font>
    <font>
      <b/>
      <sz val="12"/>
      <name val="Segoe UI"/>
      <family val="2"/>
      <scheme val="minor"/>
    </font>
    <font>
      <b/>
      <sz val="11"/>
      <color rgb="FF000000"/>
      <name val="Segoe UI"/>
      <family val="2"/>
      <scheme val="minor"/>
    </font>
    <font>
      <sz val="11"/>
      <color rgb="FF000000"/>
      <name val="Segoe UI"/>
      <family val="2"/>
      <scheme val="minor"/>
    </font>
    <font>
      <b/>
      <sz val="11"/>
      <color rgb="FF000000"/>
      <name val="Calibri"/>
      <family val="2"/>
    </font>
    <font>
      <b/>
      <sz val="18"/>
      <color rgb="FF000000"/>
      <name val="Calibri"/>
      <family val="2"/>
    </font>
    <font>
      <b/>
      <sz val="11"/>
      <name val="Calibri"/>
      <family val="2"/>
    </font>
    <font>
      <b/>
      <sz val="11"/>
      <color rgb="FFFFFFFF"/>
      <name val="Calibri"/>
      <family val="2"/>
    </font>
    <font>
      <b/>
      <sz val="10"/>
      <color theme="0"/>
      <name val="Segoe UI"/>
      <family val="2"/>
      <scheme val="minor"/>
    </font>
    <font>
      <sz val="18"/>
      <color theme="1"/>
      <name val="Segoe UI"/>
      <family val="2"/>
      <scheme val="minor"/>
    </font>
    <font>
      <sz val="11"/>
      <color theme="3"/>
      <name val="Segoe UI"/>
      <family val="2"/>
      <scheme val="minor"/>
    </font>
    <font>
      <b/>
      <sz val="11"/>
      <color theme="3"/>
      <name val="Segoe UI"/>
      <family val="2"/>
      <scheme val="minor"/>
    </font>
    <font>
      <b/>
      <sz val="11"/>
      <color theme="4"/>
      <name val="Segoe UI"/>
      <family val="2"/>
      <scheme val="minor"/>
    </font>
    <font>
      <sz val="11"/>
      <color theme="5"/>
      <name val="Segoe UI"/>
      <family val="2"/>
      <scheme val="minor"/>
    </font>
    <font>
      <b/>
      <sz val="11"/>
      <color theme="5"/>
      <name val="Segoe UI"/>
      <family val="2"/>
      <scheme val="minor"/>
    </font>
    <font>
      <i/>
      <sz val="11"/>
      <color theme="1"/>
      <name val="Calibri"/>
      <family val="2"/>
    </font>
    <font>
      <i/>
      <sz val="11"/>
      <color rgb="FF000000"/>
      <name val="Segoe UI"/>
      <family val="2"/>
      <scheme val="minor"/>
    </font>
    <font>
      <b/>
      <u/>
      <sz val="10"/>
      <color theme="1"/>
      <name val="Segoe UI"/>
      <family val="2"/>
      <scheme val="minor"/>
    </font>
    <font>
      <b/>
      <u/>
      <sz val="11"/>
      <color theme="1"/>
      <name val="Segoe UI"/>
      <family val="2"/>
      <scheme val="minor"/>
    </font>
    <font>
      <i/>
      <sz val="11"/>
      <color rgb="FFC00000"/>
      <name val="Calibri"/>
      <family val="2"/>
    </font>
    <font>
      <sz val="10"/>
      <color rgb="FF212529"/>
      <name val="Segoe UI"/>
      <family val="2"/>
      <scheme val="minor"/>
    </font>
    <font>
      <b/>
      <sz val="11"/>
      <color rgb="FF212529"/>
      <name val="Segoe UI"/>
      <family val="2"/>
      <scheme val="minor"/>
    </font>
    <font>
      <sz val="8"/>
      <color theme="1"/>
      <name val="Segoe UI"/>
      <family val="2"/>
      <scheme val="minor"/>
    </font>
    <font>
      <i/>
      <sz val="8"/>
      <color theme="1"/>
      <name val="Segoe UI"/>
      <family val="2"/>
      <scheme val="minor"/>
    </font>
    <font>
      <i/>
      <sz val="8"/>
      <color theme="2" tint="-0.749992370372631"/>
      <name val="Segoe UI"/>
      <family val="2"/>
      <scheme val="minor"/>
    </font>
    <font>
      <b/>
      <i/>
      <sz val="11"/>
      <color theme="0"/>
      <name val="Segoe UI"/>
      <family val="2"/>
      <scheme val="minor"/>
    </font>
    <font>
      <b/>
      <sz val="11"/>
      <color theme="4"/>
      <name val="Calibri"/>
      <family val="2"/>
    </font>
    <font>
      <i/>
      <sz val="10"/>
      <color theme="3"/>
      <name val="Segoe UI"/>
      <family val="2"/>
      <scheme val="minor"/>
    </font>
    <font>
      <sz val="8"/>
      <name val="Arial"/>
      <family val="2"/>
    </font>
    <font>
      <sz val="8"/>
      <name val="Arial"/>
      <family val="2"/>
      <charset val="161"/>
    </font>
    <font>
      <b/>
      <sz val="16"/>
      <color theme="0" tint="-4.9989318521683403E-2"/>
      <name val="Arial"/>
      <family val="2"/>
    </font>
    <font>
      <b/>
      <sz val="12"/>
      <color theme="0" tint="-4.9989318521683403E-2"/>
      <name val="Arial"/>
      <family val="2"/>
    </font>
    <font>
      <sz val="11"/>
      <color indexed="8"/>
      <name val="Segoe UI"/>
      <family val="2"/>
      <scheme val="minor"/>
    </font>
    <font>
      <sz val="12"/>
      <color theme="0" tint="-4.9989318521683403E-2"/>
      <name val="Arial"/>
      <family val="2"/>
    </font>
    <font>
      <i/>
      <sz val="11"/>
      <color theme="3"/>
      <name val="Segoe UI"/>
      <family val="2"/>
      <scheme val="minor"/>
    </font>
  </fonts>
  <fills count="28">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theme="3"/>
        <bgColor indexed="64"/>
      </patternFill>
    </fill>
    <fill>
      <patternFill patternType="solid">
        <fgColor theme="6"/>
        <bgColor indexed="64"/>
      </patternFill>
    </fill>
    <fill>
      <patternFill patternType="solid">
        <fgColor rgb="FFEFE973"/>
        <bgColor indexed="64"/>
      </patternFill>
    </fill>
    <fill>
      <patternFill patternType="solid">
        <fgColor rgb="FFFFFF00"/>
        <bgColor indexed="64"/>
      </patternFill>
    </fill>
    <fill>
      <patternFill patternType="solid">
        <fgColor theme="0"/>
        <bgColor indexed="64"/>
      </patternFill>
    </fill>
    <fill>
      <patternFill patternType="solid">
        <fgColor rgb="FFFFD966"/>
        <bgColor rgb="FF000000"/>
      </patternFill>
    </fill>
    <fill>
      <patternFill patternType="solid">
        <fgColor theme="2"/>
        <bgColor indexed="64"/>
      </patternFill>
    </fill>
    <fill>
      <patternFill patternType="solid">
        <fgColor theme="5"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theme="4" tint="0.79998168889431442"/>
      </patternFill>
    </fill>
    <fill>
      <patternFill patternType="solid">
        <fgColor theme="4" tint="0.39997558519241921"/>
        <bgColor indexed="64"/>
      </patternFill>
    </fill>
    <fill>
      <patternFill patternType="solid">
        <fgColor rgb="FF4472C4"/>
        <bgColor rgb="FF000000"/>
      </patternFill>
    </fill>
    <fill>
      <patternFill patternType="solid">
        <fgColor rgb="FFE7E6E6"/>
        <bgColor rgb="FF000000"/>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B04545"/>
        <bgColor indexed="64"/>
      </patternFill>
    </fill>
    <fill>
      <patternFill patternType="solid">
        <fgColor rgb="FFF59E2D"/>
        <bgColor indexed="64"/>
      </patternFill>
    </fill>
    <fill>
      <patternFill patternType="solid">
        <fgColor theme="0" tint="-4.9989318521683403E-2"/>
        <bgColor indexed="64"/>
      </patternFill>
    </fill>
    <fill>
      <patternFill patternType="solid">
        <fgColor rgb="FF608C95"/>
        <bgColor indexed="64"/>
      </patternFill>
    </fill>
    <fill>
      <patternFill patternType="solid">
        <fgColor theme="9" tint="-0.249977111117893"/>
        <bgColor indexed="64"/>
      </patternFill>
    </fill>
    <fill>
      <patternFill patternType="solid">
        <fgColor theme="9" tint="0.39997558519241921"/>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4" fillId="0" borderId="0"/>
    <xf numFmtId="0" fontId="6" fillId="0" borderId="0"/>
    <xf numFmtId="165" fontId="6"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8" fillId="0" borderId="0" applyNumberForma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 fillId="0" borderId="0"/>
    <xf numFmtId="9" fontId="61" fillId="0" borderId="0" applyFont="0" applyFill="0" applyBorder="0" applyAlignment="0" applyProtection="0"/>
    <xf numFmtId="0" fontId="62" fillId="0" borderId="0"/>
    <xf numFmtId="9" fontId="1" fillId="0" borderId="0" applyFont="0" applyFill="0" applyBorder="0" applyAlignment="0" applyProtection="0"/>
    <xf numFmtId="0" fontId="65" fillId="0" borderId="0"/>
    <xf numFmtId="0" fontId="65" fillId="0" borderId="0"/>
  </cellStyleXfs>
  <cellXfs count="575">
    <xf numFmtId="0" fontId="0" fillId="0" borderId="0" xfId="0"/>
    <xf numFmtId="0" fontId="5" fillId="0" borderId="0" xfId="2" applyFont="1"/>
    <xf numFmtId="0" fontId="6" fillId="0" borderId="0" xfId="3"/>
    <xf numFmtId="0" fontId="7" fillId="0" borderId="0" xfId="3" applyFont="1"/>
    <xf numFmtId="0" fontId="5" fillId="0" borderId="1" xfId="3" applyFont="1" applyBorder="1" applyAlignment="1">
      <alignment horizontal="center" vertical="center"/>
    </xf>
    <xf numFmtId="0" fontId="8" fillId="0" borderId="4" xfId="4" applyNumberFormat="1" applyFont="1" applyFill="1" applyBorder="1" applyAlignment="1">
      <alignment horizontal="center" vertical="center"/>
    </xf>
    <xf numFmtId="0" fontId="8" fillId="0" borderId="5" xfId="4" applyNumberFormat="1" applyFont="1" applyFill="1" applyBorder="1" applyAlignment="1">
      <alignment horizontal="center" vertical="center"/>
    </xf>
    <xf numFmtId="0" fontId="5" fillId="0" borderId="4" xfId="3" applyFont="1" applyBorder="1" applyAlignment="1">
      <alignment horizontal="center" vertical="center"/>
    </xf>
    <xf numFmtId="166" fontId="0" fillId="0" borderId="4" xfId="5" applyNumberFormat="1" applyFont="1" applyBorder="1" applyAlignment="1">
      <alignment horizontal="center"/>
    </xf>
    <xf numFmtId="0" fontId="5" fillId="0" borderId="5" xfId="3" applyFont="1" applyBorder="1" applyAlignment="1">
      <alignment horizontal="center" vertical="center"/>
    </xf>
    <xf numFmtId="0" fontId="9" fillId="0" borderId="0" xfId="3" applyFont="1"/>
    <xf numFmtId="0" fontId="10" fillId="0" borderId="0" xfId="3" applyFont="1"/>
    <xf numFmtId="0" fontId="10" fillId="0" borderId="0" xfId="2" applyFont="1"/>
    <xf numFmtId="0" fontId="5" fillId="0" borderId="0" xfId="3" applyFont="1"/>
    <xf numFmtId="0" fontId="0" fillId="0" borderId="0" xfId="0" applyAlignment="1">
      <alignment horizontal="center"/>
    </xf>
    <xf numFmtId="0" fontId="3" fillId="0" borderId="0" xfId="0" applyFont="1"/>
    <xf numFmtId="0" fontId="0" fillId="2" borderId="0" xfId="0" applyFill="1"/>
    <xf numFmtId="0" fontId="0" fillId="4" borderId="0" xfId="0" applyFill="1"/>
    <xf numFmtId="9" fontId="0" fillId="0" borderId="0" xfId="0" applyNumberFormat="1" applyAlignment="1">
      <alignment horizontal="center"/>
    </xf>
    <xf numFmtId="0" fontId="0" fillId="0" borderId="10" xfId="0" applyBorder="1"/>
    <xf numFmtId="0" fontId="0" fillId="0" borderId="0" xfId="0" applyAlignment="1">
      <alignment horizontal="center" wrapText="1"/>
    </xf>
    <xf numFmtId="2" fontId="0" fillId="0" borderId="0" xfId="0" applyNumberFormat="1" applyAlignment="1">
      <alignment horizontal="center"/>
    </xf>
    <xf numFmtId="0" fontId="4" fillId="0" borderId="0" xfId="2"/>
    <xf numFmtId="0" fontId="5" fillId="0" borderId="4" xfId="2" applyFont="1" applyBorder="1" applyAlignment="1">
      <alignment horizontal="center" vertical="center" wrapText="1"/>
    </xf>
    <xf numFmtId="0" fontId="5" fillId="0" borderId="4" xfId="2" applyFont="1" applyBorder="1" applyAlignment="1">
      <alignment horizontal="center" vertical="center"/>
    </xf>
    <xf numFmtId="169" fontId="4" fillId="0" borderId="4" xfId="2" applyNumberFormat="1" applyBorder="1" applyAlignment="1">
      <alignment horizontal="center"/>
    </xf>
    <xf numFmtId="169" fontId="4" fillId="0" borderId="0" xfId="2" applyNumberFormat="1"/>
    <xf numFmtId="169" fontId="0" fillId="0" borderId="4" xfId="5" applyNumberFormat="1" applyFont="1" applyBorder="1" applyAlignment="1">
      <alignment horizontal="center" vertical="center"/>
    </xf>
    <xf numFmtId="10" fontId="4" fillId="0" borderId="0" xfId="2" applyNumberFormat="1"/>
    <xf numFmtId="0" fontId="8" fillId="0" borderId="4" xfId="2" applyFont="1" applyBorder="1" applyAlignment="1">
      <alignment horizontal="center" vertical="center" wrapText="1"/>
    </xf>
    <xf numFmtId="9" fontId="13" fillId="0" borderId="4" xfId="6" applyFont="1" applyFill="1" applyBorder="1" applyAlignment="1">
      <alignment horizontal="center" vertical="center"/>
    </xf>
    <xf numFmtId="9" fontId="0" fillId="0" borderId="4" xfId="6" applyFont="1" applyFill="1" applyBorder="1" applyAlignment="1">
      <alignment horizontal="center" vertical="center"/>
    </xf>
    <xf numFmtId="0" fontId="4" fillId="0" borderId="4" xfId="2" applyBorder="1" applyAlignment="1">
      <alignment horizontal="center" vertical="center" wrapText="1"/>
    </xf>
    <xf numFmtId="0" fontId="4" fillId="0" borderId="4" xfId="2" applyBorder="1" applyAlignment="1">
      <alignment horizontal="center" vertical="center"/>
    </xf>
    <xf numFmtId="1" fontId="0" fillId="0" borderId="0" xfId="0" applyNumberFormat="1" applyAlignment="1">
      <alignment horizontal="center" wrapText="1"/>
    </xf>
    <xf numFmtId="1" fontId="0" fillId="0" borderId="0" xfId="0" applyNumberFormat="1" applyAlignment="1">
      <alignment horizontal="center"/>
    </xf>
    <xf numFmtId="0" fontId="4" fillId="0" borderId="0" xfId="2" applyAlignment="1">
      <alignment wrapText="1"/>
    </xf>
    <xf numFmtId="1" fontId="4" fillId="0" borderId="0" xfId="2" applyNumberFormat="1"/>
    <xf numFmtId="2" fontId="4" fillId="0" borderId="0" xfId="2" applyNumberFormat="1"/>
    <xf numFmtId="166" fontId="4" fillId="0" borderId="0" xfId="2" applyNumberFormat="1"/>
    <xf numFmtId="170" fontId="14" fillId="9" borderId="7" xfId="0" applyNumberFormat="1" applyFont="1" applyFill="1" applyBorder="1" applyAlignment="1">
      <alignment horizontal="center" vertical="center"/>
    </xf>
    <xf numFmtId="170" fontId="14" fillId="9" borderId="12" xfId="0" applyNumberFormat="1" applyFont="1" applyFill="1" applyBorder="1" applyAlignment="1">
      <alignment horizontal="center" vertical="center"/>
    </xf>
    <xf numFmtId="3" fontId="5" fillId="0" borderId="0" xfId="2" applyNumberFormat="1" applyFont="1"/>
    <xf numFmtId="3" fontId="0" fillId="0" borderId="0" xfId="0" applyNumberFormat="1" applyAlignment="1">
      <alignment horizontal="center"/>
    </xf>
    <xf numFmtId="0" fontId="4" fillId="0" borderId="0" xfId="2" applyAlignment="1">
      <alignment horizontal="center"/>
    </xf>
    <xf numFmtId="0" fontId="4" fillId="0" borderId="4" xfId="2" applyBorder="1" applyAlignment="1">
      <alignment horizontal="center"/>
    </xf>
    <xf numFmtId="0" fontId="5" fillId="10" borderId="4" xfId="2" applyFont="1" applyFill="1" applyBorder="1" applyAlignment="1">
      <alignment horizontal="center"/>
    </xf>
    <xf numFmtId="0" fontId="15" fillId="10" borderId="4" xfId="2" applyFont="1" applyFill="1" applyBorder="1" applyAlignment="1">
      <alignment horizontal="center"/>
    </xf>
    <xf numFmtId="0" fontId="5" fillId="10" borderId="4" xfId="5" applyNumberFormat="1" applyFont="1" applyFill="1" applyBorder="1" applyAlignment="1">
      <alignment horizontal="center"/>
    </xf>
    <xf numFmtId="164" fontId="0" fillId="0" borderId="4" xfId="5" applyFont="1" applyFill="1" applyBorder="1"/>
    <xf numFmtId="164" fontId="14" fillId="0" borderId="4" xfId="2" applyNumberFormat="1" applyFont="1" applyBorder="1"/>
    <xf numFmtId="164" fontId="13" fillId="0" borderId="4" xfId="5" applyFont="1" applyFill="1" applyBorder="1"/>
    <xf numFmtId="164" fontId="5" fillId="0" borderId="4" xfId="5" applyFont="1" applyBorder="1"/>
    <xf numFmtId="171" fontId="4" fillId="0" borderId="0" xfId="2" applyNumberFormat="1" applyAlignment="1">
      <alignment horizontal="center"/>
    </xf>
    <xf numFmtId="0" fontId="9" fillId="0" borderId="0" xfId="2" applyFont="1"/>
    <xf numFmtId="166" fontId="0" fillId="0" borderId="0" xfId="6" applyNumberFormat="1" applyFont="1" applyAlignment="1">
      <alignment horizontal="center"/>
    </xf>
    <xf numFmtId="9" fontId="0" fillId="0" borderId="0" xfId="6" applyFont="1" applyAlignment="1">
      <alignment horizontal="center"/>
    </xf>
    <xf numFmtId="164" fontId="5" fillId="0" borderId="4" xfId="5" applyFont="1" applyBorder="1" applyAlignment="1">
      <alignment horizontal="center"/>
    </xf>
    <xf numFmtId="0" fontId="5" fillId="0" borderId="4" xfId="5" applyNumberFormat="1" applyFont="1" applyBorder="1" applyAlignment="1">
      <alignment horizontal="center"/>
    </xf>
    <xf numFmtId="164" fontId="0" fillId="0" borderId="4" xfId="5" applyFont="1" applyBorder="1"/>
    <xf numFmtId="164" fontId="0" fillId="0" borderId="4" xfId="5" applyFont="1" applyBorder="1" applyAlignment="1">
      <alignment horizontal="center"/>
    </xf>
    <xf numFmtId="165" fontId="4" fillId="0" borderId="0" xfId="2" applyNumberFormat="1" applyAlignment="1">
      <alignment horizontal="center"/>
    </xf>
    <xf numFmtId="0" fontId="17" fillId="0" borderId="0" xfId="2" applyFont="1"/>
    <xf numFmtId="0" fontId="18" fillId="0" borderId="0" xfId="7"/>
    <xf numFmtId="164" fontId="13" fillId="0" borderId="4" xfId="5" applyFont="1" applyBorder="1"/>
    <xf numFmtId="0" fontId="19" fillId="0" borderId="0" xfId="2" applyFont="1"/>
    <xf numFmtId="164" fontId="0" fillId="0" borderId="0" xfId="5" applyFont="1" applyAlignment="1">
      <alignment horizontal="center"/>
    </xf>
    <xf numFmtId="0" fontId="0" fillId="0" borderId="0" xfId="5" applyNumberFormat="1" applyFont="1" applyAlignment="1">
      <alignment horizontal="center"/>
    </xf>
    <xf numFmtId="0" fontId="4" fillId="7" borderId="4" xfId="2" applyFill="1" applyBorder="1" applyAlignment="1">
      <alignment horizontal="left"/>
    </xf>
    <xf numFmtId="165" fontId="4" fillId="7" borderId="4" xfId="2" applyNumberFormat="1" applyFill="1" applyBorder="1" applyAlignment="1">
      <alignment horizontal="center"/>
    </xf>
    <xf numFmtId="0" fontId="4" fillId="0" borderId="4" xfId="2" applyBorder="1" applyAlignment="1">
      <alignment horizontal="left"/>
    </xf>
    <xf numFmtId="165" fontId="4" fillId="0" borderId="4" xfId="2" applyNumberFormat="1" applyBorder="1"/>
    <xf numFmtId="164" fontId="0" fillId="0" borderId="0" xfId="5" applyFont="1"/>
    <xf numFmtId="164" fontId="5" fillId="0" borderId="0" xfId="5" applyFont="1"/>
    <xf numFmtId="0" fontId="20" fillId="0" borderId="0" xfId="2" applyFont="1" applyAlignment="1">
      <alignment vertical="center"/>
    </xf>
    <xf numFmtId="0" fontId="21" fillId="0" borderId="0" xfId="2" applyFont="1" applyAlignment="1">
      <alignment vertical="center"/>
    </xf>
    <xf numFmtId="0" fontId="22" fillId="0" borderId="19" xfId="2" applyFont="1" applyBorder="1" applyAlignment="1">
      <alignment vertical="center" wrapText="1"/>
    </xf>
    <xf numFmtId="0" fontId="22" fillId="0" borderId="17" xfId="2" applyFont="1" applyBorder="1" applyAlignment="1">
      <alignment vertical="center" wrapText="1"/>
    </xf>
    <xf numFmtId="0" fontId="22" fillId="0" borderId="20" xfId="2" applyFont="1" applyBorder="1" applyAlignment="1">
      <alignment vertical="center" wrapText="1"/>
    </xf>
    <xf numFmtId="9" fontId="22" fillId="0" borderId="14" xfId="2" applyNumberFormat="1" applyFont="1" applyBorder="1" applyAlignment="1">
      <alignment vertical="center" wrapText="1"/>
    </xf>
    <xf numFmtId="0" fontId="22" fillId="0" borderId="14" xfId="2" applyFont="1" applyBorder="1" applyAlignment="1">
      <alignment vertical="center" wrapText="1"/>
    </xf>
    <xf numFmtId="164" fontId="23" fillId="0" borderId="0" xfId="5" applyFont="1" applyAlignment="1">
      <alignment horizontal="center"/>
    </xf>
    <xf numFmtId="0" fontId="4" fillId="0" borderId="14" xfId="2" applyBorder="1" applyAlignment="1">
      <alignment vertical="center" wrapText="1"/>
    </xf>
    <xf numFmtId="0" fontId="14" fillId="0" borderId="17" xfId="2" applyFont="1" applyBorder="1" applyAlignment="1">
      <alignment vertical="center" wrapText="1"/>
    </xf>
    <xf numFmtId="0" fontId="14" fillId="0" borderId="14" xfId="2" applyFont="1" applyBorder="1" applyAlignment="1">
      <alignment vertical="center" wrapText="1"/>
    </xf>
    <xf numFmtId="0" fontId="15" fillId="0" borderId="0" xfId="2" applyFont="1"/>
    <xf numFmtId="0" fontId="14" fillId="0" borderId="4" xfId="2" applyFont="1" applyBorder="1"/>
    <xf numFmtId="0" fontId="8" fillId="0" borderId="0" xfId="2" applyFont="1" applyAlignment="1">
      <alignment horizontal="center"/>
    </xf>
    <xf numFmtId="0" fontId="16" fillId="0" borderId="4" xfId="2" applyFont="1" applyBorder="1"/>
    <xf numFmtId="1" fontId="14" fillId="0" borderId="4" xfId="2" applyNumberFormat="1" applyFont="1" applyBorder="1"/>
    <xf numFmtId="0" fontId="14" fillId="0" borderId="11" xfId="2" applyFont="1" applyBorder="1"/>
    <xf numFmtId="1" fontId="0" fillId="0" borderId="4" xfId="5" applyNumberFormat="1" applyFont="1" applyBorder="1" applyAlignment="1">
      <alignment horizontal="center"/>
    </xf>
    <xf numFmtId="0" fontId="4" fillId="0" borderId="18" xfId="2" applyBorder="1" applyAlignment="1">
      <alignment horizontal="center"/>
    </xf>
    <xf numFmtId="0" fontId="4" fillId="11" borderId="4" xfId="2" applyFill="1" applyBorder="1" applyAlignment="1">
      <alignment horizontal="center"/>
    </xf>
    <xf numFmtId="9" fontId="0" fillId="11" borderId="4" xfId="6" applyFont="1" applyFill="1" applyBorder="1" applyAlignment="1">
      <alignment horizontal="center"/>
    </xf>
    <xf numFmtId="0" fontId="24" fillId="0" borderId="0" xfId="2" applyFont="1"/>
    <xf numFmtId="0" fontId="4" fillId="0" borderId="4" xfId="2" applyBorder="1"/>
    <xf numFmtId="1" fontId="4" fillId="0" borderId="4" xfId="2" applyNumberFormat="1" applyBorder="1"/>
    <xf numFmtId="1" fontId="14" fillId="7" borderId="4" xfId="2" applyNumberFormat="1" applyFont="1" applyFill="1" applyBorder="1"/>
    <xf numFmtId="0" fontId="4" fillId="4" borderId="0" xfId="2" applyFill="1"/>
    <xf numFmtId="0" fontId="5" fillId="0" borderId="0" xfId="0" applyFont="1"/>
    <xf numFmtId="0" fontId="10" fillId="0" borderId="0" xfId="0" applyFont="1"/>
    <xf numFmtId="0" fontId="0" fillId="0" borderId="0" xfId="0" applyAlignment="1">
      <alignment horizontal="center" vertical="center"/>
    </xf>
    <xf numFmtId="9" fontId="0" fillId="0" borderId="0" xfId="9" applyFont="1" applyBorder="1"/>
    <xf numFmtId="166" fontId="0" fillId="0" borderId="0" xfId="8" applyNumberFormat="1" applyFont="1" applyBorder="1"/>
    <xf numFmtId="166" fontId="0" fillId="0" borderId="0" xfId="8" applyNumberFormat="1" applyFont="1"/>
    <xf numFmtId="0" fontId="0" fillId="0" borderId="0" xfId="0" applyAlignment="1">
      <alignment horizontal="left" vertical="center"/>
    </xf>
    <xf numFmtId="0" fontId="5" fillId="0" borderId="4" xfId="2" applyFont="1" applyBorder="1" applyAlignment="1">
      <alignment vertical="center"/>
    </xf>
    <xf numFmtId="0" fontId="25" fillId="4" borderId="0" xfId="2" applyFont="1" applyFill="1"/>
    <xf numFmtId="166" fontId="0" fillId="0" borderId="4" xfId="8" applyNumberFormat="1" applyFont="1" applyBorder="1" applyAlignment="1">
      <alignment horizontal="center" vertical="center"/>
    </xf>
    <xf numFmtId="0" fontId="5" fillId="0" borderId="0" xfId="2" applyFont="1" applyAlignment="1">
      <alignment horizontal="center" wrapText="1"/>
    </xf>
    <xf numFmtId="0" fontId="4" fillId="12" borderId="0" xfId="2" applyFill="1"/>
    <xf numFmtId="0" fontId="4" fillId="12" borderId="0" xfId="2" applyFill="1" applyAlignment="1">
      <alignment horizontal="center"/>
    </xf>
    <xf numFmtId="0" fontId="25" fillId="12" borderId="0" xfId="2" applyFont="1" applyFill="1"/>
    <xf numFmtId="167" fontId="13" fillId="0" borderId="0" xfId="0" applyNumberFormat="1" applyFont="1"/>
    <xf numFmtId="9" fontId="0" fillId="0" borderId="0" xfId="9" applyFont="1"/>
    <xf numFmtId="0" fontId="24" fillId="4" borderId="0" xfId="2" applyFont="1" applyFill="1" applyAlignment="1">
      <alignment horizontal="center"/>
    </xf>
    <xf numFmtId="1" fontId="4" fillId="0" borderId="0" xfId="2" applyNumberFormat="1" applyAlignment="1">
      <alignment horizontal="center"/>
    </xf>
    <xf numFmtId="3" fontId="4" fillId="0" borderId="0" xfId="2" applyNumberFormat="1" applyAlignment="1">
      <alignment horizontal="center"/>
    </xf>
    <xf numFmtId="166" fontId="4" fillId="0" borderId="0" xfId="2" applyNumberFormat="1" applyAlignment="1">
      <alignment horizontal="center"/>
    </xf>
    <xf numFmtId="0" fontId="4" fillId="13" borderId="0" xfId="2" applyFill="1" applyAlignment="1">
      <alignment horizontal="center"/>
    </xf>
    <xf numFmtId="0" fontId="14" fillId="13" borderId="4" xfId="2" applyFont="1" applyFill="1" applyBorder="1"/>
    <xf numFmtId="1" fontId="14" fillId="13" borderId="4" xfId="2" applyNumberFormat="1" applyFont="1" applyFill="1" applyBorder="1"/>
    <xf numFmtId="0" fontId="4" fillId="13" borderId="0" xfId="2" applyFill="1"/>
    <xf numFmtId="0" fontId="4" fillId="14" borderId="0" xfId="2" applyFill="1" applyAlignment="1">
      <alignment horizontal="center"/>
    </xf>
    <xf numFmtId="0" fontId="14" fillId="14" borderId="4" xfId="2" applyFont="1" applyFill="1" applyBorder="1"/>
    <xf numFmtId="1" fontId="14" fillId="14" borderId="4" xfId="2" applyNumberFormat="1" applyFont="1" applyFill="1" applyBorder="1"/>
    <xf numFmtId="0" fontId="4" fillId="14" borderId="0" xfId="2" applyFill="1"/>
    <xf numFmtId="1" fontId="5" fillId="0" borderId="18" xfId="2" applyNumberFormat="1" applyFont="1" applyBorder="1" applyAlignment="1">
      <alignment horizontal="center"/>
    </xf>
    <xf numFmtId="0" fontId="5" fillId="0" borderId="4" xfId="2" applyFont="1" applyBorder="1"/>
    <xf numFmtId="0" fontId="0" fillId="0" borderId="9" xfId="0" applyBorder="1" applyAlignment="1">
      <alignment horizontal="left" vertical="center" wrapText="1"/>
    </xf>
    <xf numFmtId="172" fontId="0" fillId="0" borderId="10" xfId="0" applyNumberFormat="1" applyBorder="1" applyAlignment="1">
      <alignment horizontal="center" vertical="center" wrapText="1"/>
    </xf>
    <xf numFmtId="0" fontId="0" fillId="0" borderId="9" xfId="0" applyBorder="1" applyAlignment="1">
      <alignment horizontal="left" vertical="center"/>
    </xf>
    <xf numFmtId="0" fontId="0" fillId="0" borderId="13" xfId="0" applyBorder="1" applyAlignment="1">
      <alignment horizontal="left" vertical="center"/>
    </xf>
    <xf numFmtId="0" fontId="0" fillId="0" borderId="0" xfId="0" applyAlignment="1">
      <alignment vertical="center"/>
    </xf>
    <xf numFmtId="172" fontId="0" fillId="0" borderId="0" xfId="1" applyNumberFormat="1" applyFont="1" applyBorder="1" applyAlignment="1">
      <alignment horizontal="center" vertical="center"/>
    </xf>
    <xf numFmtId="172" fontId="0" fillId="0" borderId="10" xfId="1" applyNumberFormat="1" applyFont="1" applyBorder="1" applyAlignment="1">
      <alignment horizontal="center" vertical="center"/>
    </xf>
    <xf numFmtId="0" fontId="0" fillId="0" borderId="12" xfId="0" applyBorder="1" applyAlignment="1">
      <alignment vertical="center"/>
    </xf>
    <xf numFmtId="2" fontId="26" fillId="0" borderId="12" xfId="0" applyNumberFormat="1" applyFont="1" applyBorder="1" applyAlignment="1">
      <alignment horizontal="center" vertical="center"/>
    </xf>
    <xf numFmtId="0" fontId="0" fillId="0" borderId="14" xfId="0" applyBorder="1" applyAlignment="1">
      <alignment vertical="center"/>
    </xf>
    <xf numFmtId="172" fontId="0" fillId="0" borderId="10" xfId="0" applyNumberFormat="1" applyBorder="1" applyAlignment="1">
      <alignment horizontal="center" vertical="center"/>
    </xf>
    <xf numFmtId="1" fontId="0" fillId="0" borderId="0" xfId="0" applyNumberFormat="1"/>
    <xf numFmtId="0" fontId="0" fillId="0" borderId="10" xfId="0" applyBorder="1" applyAlignment="1">
      <alignment vertical="center"/>
    </xf>
    <xf numFmtId="0" fontId="5" fillId="13" borderId="1" xfId="2" applyFont="1" applyFill="1" applyBorder="1" applyAlignment="1">
      <alignment horizontal="center" vertical="center"/>
    </xf>
    <xf numFmtId="0" fontId="5" fillId="13" borderId="3" xfId="2" applyFont="1" applyFill="1" applyBorder="1" applyAlignment="1">
      <alignment horizontal="center" vertical="center"/>
    </xf>
    <xf numFmtId="0" fontId="5" fillId="13" borderId="5" xfId="2" applyFont="1" applyFill="1" applyBorder="1" applyAlignment="1">
      <alignment horizontal="center" vertical="center"/>
    </xf>
    <xf numFmtId="0" fontId="5" fillId="13" borderId="4" xfId="2" applyFont="1" applyFill="1" applyBorder="1" applyAlignment="1">
      <alignment horizontal="center" vertical="center"/>
    </xf>
    <xf numFmtId="0" fontId="5" fillId="13" borderId="2" xfId="2" applyFont="1" applyFill="1" applyBorder="1" applyAlignment="1">
      <alignment horizontal="center" vertical="center"/>
    </xf>
    <xf numFmtId="0" fontId="10" fillId="13" borderId="18" xfId="2" applyFont="1" applyFill="1" applyBorder="1" applyAlignment="1">
      <alignment horizontal="left"/>
    </xf>
    <xf numFmtId="1" fontId="4" fillId="8" borderId="11" xfId="2" applyNumberFormat="1" applyFill="1" applyBorder="1" applyAlignment="1">
      <alignment horizontal="center"/>
    </xf>
    <xf numFmtId="1" fontId="4" fillId="8" borderId="23" xfId="2" applyNumberFormat="1" applyFill="1" applyBorder="1" applyAlignment="1">
      <alignment horizontal="center"/>
    </xf>
    <xf numFmtId="1" fontId="4" fillId="8" borderId="0" xfId="2" applyNumberFormat="1" applyFill="1" applyAlignment="1">
      <alignment horizontal="center"/>
    </xf>
    <xf numFmtId="1" fontId="4" fillId="8" borderId="24" xfId="2" applyNumberFormat="1" applyFill="1" applyBorder="1" applyAlignment="1">
      <alignment horizontal="center"/>
    </xf>
    <xf numFmtId="0" fontId="10" fillId="13" borderId="11" xfId="2" applyFont="1" applyFill="1" applyBorder="1" applyAlignment="1">
      <alignment horizontal="left"/>
    </xf>
    <xf numFmtId="0" fontId="5" fillId="13" borderId="4" xfId="2" applyFont="1" applyFill="1" applyBorder="1" applyAlignment="1">
      <alignment horizontal="left"/>
    </xf>
    <xf numFmtId="1" fontId="5" fillId="13" borderId="4" xfId="2" applyNumberFormat="1" applyFont="1" applyFill="1" applyBorder="1" applyAlignment="1">
      <alignment horizontal="center"/>
    </xf>
    <xf numFmtId="1" fontId="27" fillId="13" borderId="4" xfId="2" applyNumberFormat="1" applyFont="1" applyFill="1" applyBorder="1" applyAlignment="1">
      <alignment horizontal="center"/>
    </xf>
    <xf numFmtId="0" fontId="10" fillId="0" borderId="0" xfId="2" applyFont="1" applyAlignment="1">
      <alignment horizontal="left"/>
    </xf>
    <xf numFmtId="0" fontId="5" fillId="13" borderId="1" xfId="2" applyFont="1" applyFill="1" applyBorder="1" applyAlignment="1">
      <alignment horizontal="center" vertical="center" wrapText="1"/>
    </xf>
    <xf numFmtId="0" fontId="5" fillId="13" borderId="3" xfId="2" applyFont="1" applyFill="1" applyBorder="1" applyAlignment="1">
      <alignment horizontal="center" vertical="center" wrapText="1"/>
    </xf>
    <xf numFmtId="0" fontId="0" fillId="0" borderId="6" xfId="0" applyBorder="1" applyAlignment="1">
      <alignment horizontal="left"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0" fillId="0" borderId="0" xfId="0" applyNumberFormat="1" applyAlignment="1">
      <alignment horizontal="center" vertical="center"/>
    </xf>
    <xf numFmtId="3" fontId="0" fillId="0" borderId="10" xfId="0" applyNumberFormat="1" applyBorder="1" applyAlignment="1">
      <alignment horizontal="center" vertical="center"/>
    </xf>
    <xf numFmtId="3" fontId="11" fillId="0" borderId="7" xfId="0" applyNumberFormat="1" applyFont="1" applyBorder="1" applyAlignment="1">
      <alignment horizontal="center" vertical="center"/>
    </xf>
    <xf numFmtId="172" fontId="0" fillId="0" borderId="9" xfId="0" applyNumberFormat="1" applyBorder="1" applyAlignment="1">
      <alignment horizontal="center" vertical="center"/>
    </xf>
    <xf numFmtId="172" fontId="0" fillId="0" borderId="9" xfId="0" applyNumberFormat="1" applyBorder="1" applyAlignment="1">
      <alignment horizontal="center" vertical="center" wrapText="1"/>
    </xf>
    <xf numFmtId="2" fontId="26" fillId="0" borderId="9" xfId="0" applyNumberFormat="1" applyFont="1" applyBorder="1" applyAlignment="1">
      <alignment horizontal="center" vertical="center"/>
    </xf>
    <xf numFmtId="2" fontId="26" fillId="0" borderId="13" xfId="0" applyNumberFormat="1" applyFont="1" applyBorder="1" applyAlignment="1">
      <alignment horizontal="center" vertical="center"/>
    </xf>
    <xf numFmtId="3" fontId="0" fillId="0" borderId="6" xfId="0" applyNumberFormat="1" applyBorder="1" applyAlignment="1">
      <alignment horizontal="center" vertical="center"/>
    </xf>
    <xf numFmtId="3" fontId="0" fillId="0" borderId="9" xfId="0" applyNumberFormat="1" applyBorder="1" applyAlignment="1">
      <alignment horizontal="center" vertical="center"/>
    </xf>
    <xf numFmtId="4" fontId="0" fillId="0" borderId="9" xfId="0" applyNumberFormat="1" applyBorder="1" applyAlignment="1">
      <alignment horizontal="center" vertical="center"/>
    </xf>
    <xf numFmtId="4" fontId="0" fillId="0" borderId="10" xfId="0" applyNumberFormat="1" applyBorder="1" applyAlignment="1">
      <alignment horizontal="center" vertical="center"/>
    </xf>
    <xf numFmtId="0" fontId="29" fillId="0" borderId="0" xfId="0" applyFont="1"/>
    <xf numFmtId="170" fontId="4" fillId="0" borderId="0" xfId="2" applyNumberFormat="1" applyAlignment="1">
      <alignment horizontal="center"/>
    </xf>
    <xf numFmtId="3" fontId="5" fillId="0" borderId="0" xfId="2" applyNumberFormat="1" applyFont="1" applyAlignment="1">
      <alignment horizontal="center"/>
    </xf>
    <xf numFmtId="169" fontId="4" fillId="0" borderId="0" xfId="2" applyNumberFormat="1" applyAlignment="1">
      <alignment horizontal="center"/>
    </xf>
    <xf numFmtId="0" fontId="33" fillId="0" borderId="0" xfId="0" applyFont="1" applyAlignment="1">
      <alignment horizontal="center" vertical="center"/>
    </xf>
    <xf numFmtId="0" fontId="33" fillId="15" borderId="0" xfId="0" applyFont="1" applyFill="1" applyAlignment="1">
      <alignment horizontal="center" vertical="center"/>
    </xf>
    <xf numFmtId="0" fontId="13" fillId="0" borderId="0" xfId="0" applyFont="1"/>
    <xf numFmtId="1" fontId="13" fillId="0" borderId="0" xfId="0" applyNumberFormat="1" applyFont="1"/>
    <xf numFmtId="171" fontId="5" fillId="0" borderId="0" xfId="8" applyNumberFormat="1" applyFont="1"/>
    <xf numFmtId="166" fontId="0" fillId="0" borderId="0" xfId="0" applyNumberFormat="1"/>
    <xf numFmtId="0" fontId="0" fillId="0" borderId="0" xfId="0" applyAlignment="1">
      <alignment horizontal="center" vertical="center" wrapText="1"/>
    </xf>
    <xf numFmtId="0" fontId="34" fillId="0" borderId="0" xfId="0" applyFont="1" applyAlignment="1">
      <alignment horizontal="left" vertical="center" readingOrder="1"/>
    </xf>
    <xf numFmtId="0" fontId="35" fillId="0" borderId="4" xfId="0" applyFont="1" applyBorder="1"/>
    <xf numFmtId="1" fontId="35" fillId="0" borderId="4" xfId="8" applyNumberFormat="1" applyFont="1" applyBorder="1" applyAlignment="1">
      <alignment horizontal="center" vertical="center"/>
    </xf>
    <xf numFmtId="1" fontId="36" fillId="0" borderId="4" xfId="8" applyNumberFormat="1" applyFont="1" applyBorder="1" applyAlignment="1">
      <alignment horizontal="center" vertical="center"/>
    </xf>
    <xf numFmtId="3" fontId="0" fillId="0" borderId="0" xfId="0" applyNumberFormat="1"/>
    <xf numFmtId="0" fontId="14" fillId="0" borderId="0" xfId="0" applyFont="1"/>
    <xf numFmtId="0" fontId="37" fillId="0" borderId="0" xfId="0" applyFont="1"/>
    <xf numFmtId="1" fontId="37" fillId="0" borderId="4" xfId="0" applyNumberFormat="1" applyFont="1" applyBorder="1" applyAlignment="1">
      <alignment horizontal="center"/>
    </xf>
    <xf numFmtId="1" fontId="14" fillId="0" borderId="0" xfId="0" applyNumberFormat="1" applyFont="1"/>
    <xf numFmtId="0" fontId="32" fillId="0" borderId="0" xfId="0" applyFont="1"/>
    <xf numFmtId="1" fontId="5" fillId="0" borderId="4" xfId="2" applyNumberFormat="1" applyFont="1" applyBorder="1"/>
    <xf numFmtId="2" fontId="0" fillId="0" borderId="0" xfId="0" applyNumberFormat="1"/>
    <xf numFmtId="1" fontId="35" fillId="0" borderId="0" xfId="8" applyNumberFormat="1" applyFont="1" applyFill="1" applyBorder="1" applyAlignment="1">
      <alignment horizontal="left" vertical="center"/>
    </xf>
    <xf numFmtId="0" fontId="5" fillId="0" borderId="0" xfId="0" applyFont="1" applyAlignment="1">
      <alignment horizontal="center"/>
    </xf>
    <xf numFmtId="1" fontId="5" fillId="0" borderId="0" xfId="0" applyNumberFormat="1" applyFont="1"/>
    <xf numFmtId="1" fontId="3" fillId="0" borderId="0" xfId="0" applyNumberFormat="1" applyFont="1" applyAlignment="1">
      <alignment horizontal="center"/>
    </xf>
    <xf numFmtId="0" fontId="38" fillId="0" borderId="0" xfId="0" applyFont="1" applyAlignment="1">
      <alignment horizontal="center" vertical="center"/>
    </xf>
    <xf numFmtId="0" fontId="16" fillId="0" borderId="0" xfId="0" applyFont="1"/>
    <xf numFmtId="1" fontId="16" fillId="0" borderId="0" xfId="0" applyNumberFormat="1" applyFont="1"/>
    <xf numFmtId="0" fontId="16" fillId="0" borderId="0" xfId="0" applyFont="1" applyAlignment="1">
      <alignment horizontal="center" vertical="center" wrapText="1"/>
    </xf>
    <xf numFmtId="170" fontId="14" fillId="18" borderId="6" xfId="0" applyNumberFormat="1" applyFont="1" applyFill="1" applyBorder="1" applyAlignment="1">
      <alignment horizontal="center" vertical="center"/>
    </xf>
    <xf numFmtId="170" fontId="14" fillId="18" borderId="7" xfId="0" applyNumberFormat="1" applyFont="1" applyFill="1" applyBorder="1" applyAlignment="1">
      <alignment horizontal="center" vertical="center"/>
    </xf>
    <xf numFmtId="170" fontId="14" fillId="18" borderId="13" xfId="0" applyNumberFormat="1" applyFont="1" applyFill="1" applyBorder="1" applyAlignment="1">
      <alignment horizontal="center" vertical="center"/>
    </xf>
    <xf numFmtId="170" fontId="14" fillId="18" borderId="12" xfId="0" applyNumberFormat="1" applyFont="1" applyFill="1" applyBorder="1" applyAlignment="1">
      <alignment horizontal="center" vertical="center"/>
    </xf>
    <xf numFmtId="170" fontId="14" fillId="9" borderId="8" xfId="0" applyNumberFormat="1" applyFont="1" applyFill="1" applyBorder="1" applyAlignment="1">
      <alignment horizontal="center" vertical="center"/>
    </xf>
    <xf numFmtId="170" fontId="14" fillId="9" borderId="14" xfId="0" applyNumberFormat="1" applyFont="1" applyFill="1" applyBorder="1" applyAlignment="1">
      <alignment horizontal="center" vertical="center"/>
    </xf>
    <xf numFmtId="0" fontId="40" fillId="17" borderId="15" xfId="0" applyFont="1" applyFill="1" applyBorder="1" applyAlignment="1">
      <alignment horizontal="center"/>
    </xf>
    <xf numFmtId="0" fontId="40" fillId="17" borderId="16" xfId="0" applyFont="1" applyFill="1" applyBorder="1" applyAlignment="1">
      <alignment horizontal="center"/>
    </xf>
    <xf numFmtId="0" fontId="40" fillId="17" borderId="17" xfId="0" applyFont="1" applyFill="1" applyBorder="1" applyAlignment="1">
      <alignment horizontal="center"/>
    </xf>
    <xf numFmtId="0" fontId="4" fillId="0" borderId="0" xfId="2" applyAlignment="1">
      <alignment horizontal="center" vertical="center"/>
    </xf>
    <xf numFmtId="0" fontId="4" fillId="0" borderId="0" xfId="2" applyAlignment="1">
      <alignment horizontal="left" vertical="center"/>
    </xf>
    <xf numFmtId="0" fontId="8" fillId="0" borderId="4" xfId="8" applyNumberFormat="1" applyFont="1" applyFill="1" applyBorder="1" applyAlignment="1">
      <alignment horizontal="center" vertical="center"/>
    </xf>
    <xf numFmtId="0" fontId="13" fillId="0" borderId="0" xfId="8" applyNumberFormat="1" applyFont="1" applyFill="1" applyBorder="1" applyAlignment="1">
      <alignment horizontal="center" vertical="center"/>
    </xf>
    <xf numFmtId="1" fontId="4" fillId="0" borderId="4" xfId="2" applyNumberFormat="1" applyBorder="1" applyAlignment="1">
      <alignment horizontal="center" vertical="center"/>
    </xf>
    <xf numFmtId="1" fontId="5" fillId="0" borderId="4" xfId="2" applyNumberFormat="1" applyFont="1" applyBorder="1" applyAlignment="1">
      <alignment horizontal="center" vertical="center"/>
    </xf>
    <xf numFmtId="1" fontId="4" fillId="0" borderId="0" xfId="2" applyNumberFormat="1" applyAlignment="1">
      <alignment horizontal="center" vertical="center"/>
    </xf>
    <xf numFmtId="9" fontId="0" fillId="0" borderId="0" xfId="6" applyFont="1" applyAlignment="1">
      <alignment horizontal="center" vertical="center"/>
    </xf>
    <xf numFmtId="173" fontId="4" fillId="0" borderId="0" xfId="2" applyNumberFormat="1" applyAlignment="1">
      <alignment horizontal="center" vertical="center"/>
    </xf>
    <xf numFmtId="0" fontId="10" fillId="0" borderId="0" xfId="2" applyFont="1" applyAlignment="1">
      <alignment horizontal="left" vertical="center"/>
    </xf>
    <xf numFmtId="166" fontId="0" fillId="7" borderId="0" xfId="8" applyNumberFormat="1" applyFont="1" applyFill="1" applyBorder="1"/>
    <xf numFmtId="0" fontId="0" fillId="0" borderId="8" xfId="0" applyBorder="1" applyAlignment="1">
      <alignment horizontal="center" vertical="center"/>
    </xf>
    <xf numFmtId="1" fontId="5" fillId="0" borderId="0" xfId="2" applyNumberFormat="1" applyFont="1" applyAlignment="1">
      <alignment horizontal="center"/>
    </xf>
    <xf numFmtId="0" fontId="10" fillId="0" borderId="0" xfId="2" applyFont="1" applyAlignment="1">
      <alignment horizontal="left" indent="1"/>
    </xf>
    <xf numFmtId="0" fontId="3" fillId="0" borderId="0" xfId="0" applyFont="1" applyAlignment="1">
      <alignment horizontal="center" vertical="center" wrapText="1"/>
    </xf>
    <xf numFmtId="0" fontId="5" fillId="0" borderId="11" xfId="2" applyFont="1" applyBorder="1" applyAlignment="1">
      <alignment horizontal="center" vertical="center"/>
    </xf>
    <xf numFmtId="0" fontId="5" fillId="0" borderId="5" xfId="2" applyFont="1" applyBorder="1" applyAlignment="1">
      <alignment horizontal="center" vertical="center"/>
    </xf>
    <xf numFmtId="0" fontId="5" fillId="0" borderId="0" xfId="2" applyFont="1" applyAlignment="1">
      <alignment horizontal="center"/>
    </xf>
    <xf numFmtId="0" fontId="10" fillId="0" borderId="0" xfId="2" applyFont="1" applyAlignment="1">
      <alignment horizontal="center"/>
    </xf>
    <xf numFmtId="3" fontId="10" fillId="0" borderId="0" xfId="2" applyNumberFormat="1" applyFont="1" applyAlignment="1">
      <alignment horizontal="center"/>
    </xf>
    <xf numFmtId="3" fontId="1" fillId="0" borderId="0" xfId="2" applyNumberFormat="1" applyFont="1" applyAlignment="1">
      <alignment horizontal="center"/>
    </xf>
    <xf numFmtId="0" fontId="41" fillId="4" borderId="0" xfId="0" applyFont="1" applyFill="1"/>
    <xf numFmtId="0" fontId="28" fillId="4" borderId="0" xfId="0" applyFont="1" applyFill="1"/>
    <xf numFmtId="169" fontId="1" fillId="0" borderId="4" xfId="5" applyNumberFormat="1" applyFont="1" applyBorder="1" applyAlignment="1">
      <alignment horizontal="center" vertical="center"/>
    </xf>
    <xf numFmtId="9" fontId="13" fillId="0" borderId="4" xfId="6" applyFont="1" applyBorder="1" applyAlignment="1">
      <alignment horizontal="center" vertical="center"/>
    </xf>
    <xf numFmtId="9" fontId="0" fillId="0" borderId="4" xfId="6" applyFont="1" applyBorder="1" applyAlignment="1">
      <alignment horizontal="center" vertical="center"/>
    </xf>
    <xf numFmtId="169" fontId="1" fillId="0" borderId="0" xfId="2" applyNumberFormat="1" applyFont="1"/>
    <xf numFmtId="0" fontId="5" fillId="0" borderId="0" xfId="2" applyFont="1" applyAlignment="1">
      <alignment horizontal="center" vertical="center" wrapText="1"/>
    </xf>
    <xf numFmtId="9" fontId="0" fillId="0" borderId="0" xfId="1" applyFont="1" applyAlignment="1">
      <alignment horizontal="center"/>
    </xf>
    <xf numFmtId="0" fontId="1" fillId="0" borderId="0" xfId="2" applyFont="1"/>
    <xf numFmtId="0" fontId="15" fillId="0" borderId="0" xfId="0" applyFont="1"/>
    <xf numFmtId="0" fontId="42" fillId="0" borderId="0" xfId="0" applyFont="1" applyAlignment="1">
      <alignment horizontal="center" vertical="center"/>
    </xf>
    <xf numFmtId="1" fontId="43" fillId="0" borderId="0" xfId="0" applyNumberFormat="1" applyFont="1"/>
    <xf numFmtId="1" fontId="43" fillId="3" borderId="0" xfId="0" applyNumberFormat="1" applyFont="1" applyFill="1"/>
    <xf numFmtId="2" fontId="4" fillId="0" borderId="0" xfId="2" applyNumberFormat="1" applyAlignment="1">
      <alignment horizontal="center"/>
    </xf>
    <xf numFmtId="9" fontId="4" fillId="0" borderId="0" xfId="2" applyNumberFormat="1" applyAlignment="1">
      <alignment horizontal="center"/>
    </xf>
    <xf numFmtId="3" fontId="13" fillId="0" borderId="0" xfId="0" applyNumberFormat="1" applyFont="1"/>
    <xf numFmtId="9" fontId="6" fillId="19" borderId="0" xfId="1" applyFont="1" applyFill="1" applyAlignment="1">
      <alignment horizontal="center"/>
    </xf>
    <xf numFmtId="166" fontId="5" fillId="19" borderId="4" xfId="5" applyNumberFormat="1" applyFont="1" applyFill="1" applyBorder="1" applyAlignment="1">
      <alignment horizontal="center"/>
    </xf>
    <xf numFmtId="0" fontId="6" fillId="0" borderId="0" xfId="3" applyAlignment="1">
      <alignment horizontal="center"/>
    </xf>
    <xf numFmtId="166" fontId="6" fillId="0" borderId="0" xfId="5" applyNumberFormat="1" applyFont="1" applyAlignment="1">
      <alignment horizontal="center"/>
    </xf>
    <xf numFmtId="0" fontId="6" fillId="4" borderId="0" xfId="3" applyFill="1"/>
    <xf numFmtId="0" fontId="6" fillId="4" borderId="0" xfId="3" applyFill="1" applyAlignment="1">
      <alignment horizontal="center"/>
    </xf>
    <xf numFmtId="0" fontId="25" fillId="4" borderId="0" xfId="3" applyFont="1" applyFill="1"/>
    <xf numFmtId="168" fontId="6" fillId="0" borderId="0" xfId="3" applyNumberFormat="1" applyAlignment="1">
      <alignment horizontal="center"/>
    </xf>
    <xf numFmtId="0" fontId="25" fillId="12" borderId="6" xfId="0" applyFont="1" applyFill="1" applyBorder="1" applyAlignment="1">
      <alignment horizontal="center"/>
    </xf>
    <xf numFmtId="0" fontId="25" fillId="12" borderId="7" xfId="0" applyFont="1" applyFill="1" applyBorder="1" applyAlignment="1">
      <alignment horizontal="center"/>
    </xf>
    <xf numFmtId="0" fontId="25" fillId="12" borderId="8" xfId="0" applyFont="1" applyFill="1" applyBorder="1" applyAlignment="1">
      <alignment horizontal="center"/>
    </xf>
    <xf numFmtId="170" fontId="6" fillId="0" borderId="9" xfId="3" applyNumberFormat="1" applyBorder="1" applyAlignment="1">
      <alignment horizontal="center"/>
    </xf>
    <xf numFmtId="170" fontId="6" fillId="0" borderId="0" xfId="3" applyNumberFormat="1" applyAlignment="1">
      <alignment horizontal="center"/>
    </xf>
    <xf numFmtId="170" fontId="6" fillId="0" borderId="10" xfId="3" applyNumberFormat="1" applyBorder="1" applyAlignment="1">
      <alignment horizontal="center"/>
    </xf>
    <xf numFmtId="170" fontId="6" fillId="0" borderId="13" xfId="3" applyNumberFormat="1" applyBorder="1" applyAlignment="1">
      <alignment horizontal="center"/>
    </xf>
    <xf numFmtId="170" fontId="6" fillId="0" borderId="12" xfId="3" applyNumberFormat="1" applyBorder="1" applyAlignment="1">
      <alignment horizontal="center"/>
    </xf>
    <xf numFmtId="170" fontId="6" fillId="0" borderId="14" xfId="3" applyNumberFormat="1" applyBorder="1" applyAlignment="1">
      <alignment horizontal="center"/>
    </xf>
    <xf numFmtId="0" fontId="6" fillId="3" borderId="6" xfId="3" applyFill="1" applyBorder="1" applyAlignment="1">
      <alignment horizontal="center"/>
    </xf>
    <xf numFmtId="0" fontId="6" fillId="0" borderId="7" xfId="3" applyBorder="1" applyAlignment="1">
      <alignment horizontal="center"/>
    </xf>
    <xf numFmtId="0" fontId="6" fillId="3" borderId="7" xfId="3" applyFill="1" applyBorder="1" applyAlignment="1">
      <alignment horizontal="center"/>
    </xf>
    <xf numFmtId="0" fontId="6" fillId="3" borderId="8" xfId="3" applyFill="1" applyBorder="1" applyAlignment="1">
      <alignment horizontal="center"/>
    </xf>
    <xf numFmtId="0" fontId="6" fillId="3" borderId="13" xfId="3" applyFill="1" applyBorder="1" applyAlignment="1">
      <alignment horizontal="center"/>
    </xf>
    <xf numFmtId="0" fontId="6" fillId="0" borderId="12" xfId="3" applyBorder="1" applyAlignment="1">
      <alignment horizontal="center"/>
    </xf>
    <xf numFmtId="0" fontId="6" fillId="3" borderId="12" xfId="3" applyFill="1" applyBorder="1" applyAlignment="1">
      <alignment horizontal="center"/>
    </xf>
    <xf numFmtId="0" fontId="6" fillId="3" borderId="14" xfId="3" applyFill="1" applyBorder="1" applyAlignment="1">
      <alignment horizontal="center"/>
    </xf>
    <xf numFmtId="9" fontId="5" fillId="0" borderId="0" xfId="1" applyFont="1" applyAlignment="1">
      <alignment horizontal="center"/>
    </xf>
    <xf numFmtId="9" fontId="5" fillId="20" borderId="0" xfId="2" applyNumberFormat="1" applyFont="1" applyFill="1" applyAlignment="1">
      <alignment horizontal="center"/>
    </xf>
    <xf numFmtId="172" fontId="5" fillId="16" borderId="0" xfId="1" applyNumberFormat="1" applyFont="1" applyFill="1" applyAlignment="1">
      <alignment horizontal="center"/>
    </xf>
    <xf numFmtId="9" fontId="10" fillId="20" borderId="0" xfId="2" applyNumberFormat="1" applyFont="1" applyFill="1" applyAlignment="1">
      <alignment horizontal="center"/>
    </xf>
    <xf numFmtId="0" fontId="25" fillId="0" borderId="0" xfId="3" applyFont="1"/>
    <xf numFmtId="0" fontId="8" fillId="0" borderId="0" xfId="3" applyFont="1"/>
    <xf numFmtId="3" fontId="6" fillId="3" borderId="6" xfId="3" applyNumberFormat="1" applyFill="1" applyBorder="1" applyAlignment="1">
      <alignment horizontal="center"/>
    </xf>
    <xf numFmtId="3" fontId="6" fillId="0" borderId="7" xfId="3" applyNumberFormat="1" applyBorder="1" applyAlignment="1">
      <alignment horizontal="center"/>
    </xf>
    <xf numFmtId="3" fontId="6" fillId="3" borderId="7" xfId="3" applyNumberFormat="1" applyFill="1" applyBorder="1" applyAlignment="1">
      <alignment horizontal="center"/>
    </xf>
    <xf numFmtId="3" fontId="6" fillId="3" borderId="8" xfId="3" applyNumberFormat="1" applyFill="1" applyBorder="1" applyAlignment="1">
      <alignment horizontal="center"/>
    </xf>
    <xf numFmtId="3" fontId="6" fillId="3" borderId="13" xfId="3" applyNumberFormat="1" applyFill="1" applyBorder="1" applyAlignment="1">
      <alignment horizontal="center"/>
    </xf>
    <xf numFmtId="3" fontId="6" fillId="0" borderId="12" xfId="3" applyNumberFormat="1" applyBorder="1" applyAlignment="1">
      <alignment horizontal="center"/>
    </xf>
    <xf numFmtId="3" fontId="6" fillId="3" borderId="12" xfId="3" applyNumberFormat="1" applyFill="1" applyBorder="1" applyAlignment="1">
      <alignment horizontal="center"/>
    </xf>
    <xf numFmtId="3" fontId="6" fillId="3" borderId="14" xfId="3" applyNumberFormat="1" applyFill="1" applyBorder="1" applyAlignment="1">
      <alignment horizontal="center"/>
    </xf>
    <xf numFmtId="9" fontId="0" fillId="0" borderId="9" xfId="1" applyFont="1" applyBorder="1" applyAlignment="1">
      <alignment horizontal="center" vertical="center" wrapText="1"/>
    </xf>
    <xf numFmtId="9" fontId="0" fillId="0" borderId="10" xfId="1" applyFont="1" applyBorder="1" applyAlignment="1">
      <alignment horizontal="center" vertical="center"/>
    </xf>
    <xf numFmtId="9" fontId="26" fillId="0" borderId="9" xfId="1" applyFont="1" applyBorder="1" applyAlignment="1">
      <alignment horizontal="center" vertical="center"/>
    </xf>
    <xf numFmtId="9" fontId="0" fillId="0" borderId="10" xfId="1" applyFont="1" applyBorder="1" applyAlignment="1">
      <alignment vertical="center"/>
    </xf>
    <xf numFmtId="0" fontId="5" fillId="0" borderId="0" xfId="0" applyFont="1" applyAlignment="1">
      <alignment horizontal="center" wrapText="1"/>
    </xf>
    <xf numFmtId="9" fontId="0" fillId="0" borderId="0" xfId="0" applyNumberFormat="1"/>
    <xf numFmtId="0" fontId="23" fillId="0" borderId="0" xfId="0" applyFont="1"/>
    <xf numFmtId="172" fontId="0" fillId="0" borderId="0" xfId="0" applyNumberFormat="1"/>
    <xf numFmtId="3" fontId="0" fillId="16" borderId="0" xfId="0" applyNumberFormat="1" applyFill="1" applyAlignment="1">
      <alignment horizontal="center"/>
    </xf>
    <xf numFmtId="0" fontId="4" fillId="2" borderId="0" xfId="2" applyFill="1" applyAlignment="1">
      <alignment horizontal="center"/>
    </xf>
    <xf numFmtId="0" fontId="4" fillId="2" borderId="0" xfId="2" applyFill="1"/>
    <xf numFmtId="0" fontId="25" fillId="0" borderId="0" xfId="2" applyFont="1" applyAlignment="1">
      <alignment horizontal="center"/>
    </xf>
    <xf numFmtId="0" fontId="24" fillId="0" borderId="0" xfId="2" applyFont="1" applyAlignment="1">
      <alignment horizontal="center"/>
    </xf>
    <xf numFmtId="0" fontId="43" fillId="0" borderId="0" xfId="2" applyFont="1" applyAlignment="1">
      <alignment horizontal="center"/>
    </xf>
    <xf numFmtId="0" fontId="25" fillId="2" borderId="0" xfId="2" applyFont="1" applyFill="1"/>
    <xf numFmtId="167" fontId="4" fillId="0" borderId="0" xfId="2" applyNumberFormat="1" applyAlignment="1">
      <alignment horizontal="center"/>
    </xf>
    <xf numFmtId="3" fontId="4" fillId="0" borderId="0" xfId="2" applyNumberFormat="1"/>
    <xf numFmtId="0" fontId="3" fillId="0" borderId="0" xfId="0" applyFont="1" applyAlignment="1">
      <alignment horizontal="center" wrapText="1"/>
    </xf>
    <xf numFmtId="1" fontId="13" fillId="0" borderId="0" xfId="0" applyNumberFormat="1" applyFont="1" applyAlignment="1">
      <alignment horizontal="center"/>
    </xf>
    <xf numFmtId="0" fontId="6" fillId="2" borderId="0" xfId="3" applyFill="1"/>
    <xf numFmtId="0" fontId="6" fillId="2" borderId="0" xfId="3" applyFill="1" applyAlignment="1">
      <alignment horizontal="center"/>
    </xf>
    <xf numFmtId="0" fontId="25" fillId="0" borderId="0" xfId="2" applyFont="1"/>
    <xf numFmtId="0" fontId="8" fillId="0" borderId="0" xfId="2" applyFont="1"/>
    <xf numFmtId="0" fontId="1" fillId="0" borderId="4" xfId="2" applyFont="1" applyBorder="1"/>
    <xf numFmtId="1" fontId="1" fillId="0" borderId="4" xfId="2" applyNumberFormat="1" applyFont="1" applyBorder="1" applyAlignment="1">
      <alignment horizontal="center"/>
    </xf>
    <xf numFmtId="0" fontId="35" fillId="0" borderId="4" xfId="2" applyFont="1" applyBorder="1" applyAlignment="1">
      <alignment horizontal="center"/>
    </xf>
    <xf numFmtId="1" fontId="1" fillId="0" borderId="0" xfId="2" applyNumberFormat="1" applyFont="1" applyAlignment="1">
      <alignment horizontal="center"/>
    </xf>
    <xf numFmtId="0" fontId="36" fillId="0" borderId="4" xfId="2" applyFont="1" applyBorder="1" applyAlignment="1">
      <alignment horizontal="center"/>
    </xf>
    <xf numFmtId="1" fontId="5" fillId="0" borderId="4" xfId="2" applyNumberFormat="1" applyFont="1" applyBorder="1" applyAlignment="1">
      <alignment horizontal="center"/>
    </xf>
    <xf numFmtId="0" fontId="46" fillId="0" borderId="4" xfId="2" applyFont="1" applyBorder="1"/>
    <xf numFmtId="1" fontId="46" fillId="0" borderId="4" xfId="2" applyNumberFormat="1" applyFont="1" applyBorder="1" applyAlignment="1">
      <alignment horizontal="center"/>
    </xf>
    <xf numFmtId="1" fontId="47" fillId="0" borderId="4" xfId="2" applyNumberFormat="1" applyFont="1" applyBorder="1" applyAlignment="1">
      <alignment horizontal="center"/>
    </xf>
    <xf numFmtId="0" fontId="46" fillId="0" borderId="0" xfId="2" applyFont="1"/>
    <xf numFmtId="0" fontId="25" fillId="21" borderId="0" xfId="2" applyFont="1" applyFill="1"/>
    <xf numFmtId="0" fontId="25" fillId="21" borderId="0" xfId="2" applyFont="1" applyFill="1" applyAlignment="1">
      <alignment horizontal="center"/>
    </xf>
    <xf numFmtId="0" fontId="48" fillId="0" borderId="0" xfId="0" applyFont="1"/>
    <xf numFmtId="1" fontId="0" fillId="16" borderId="0" xfId="0" applyNumberFormat="1" applyFill="1" applyAlignment="1">
      <alignment horizontal="center"/>
    </xf>
    <xf numFmtId="0" fontId="19" fillId="0" borderId="0" xfId="2" applyFont="1" applyAlignment="1">
      <alignment horizontal="center"/>
    </xf>
    <xf numFmtId="3" fontId="19" fillId="0" borderId="0" xfId="2" applyNumberFormat="1" applyFont="1" applyAlignment="1">
      <alignment horizontal="center"/>
    </xf>
    <xf numFmtId="0" fontId="37" fillId="0" borderId="4" xfId="0" applyFont="1" applyBorder="1" applyAlignment="1">
      <alignment horizontal="center"/>
    </xf>
    <xf numFmtId="1" fontId="14" fillId="0" borderId="4" xfId="0" applyNumberFormat="1" applyFont="1" applyBorder="1" applyAlignment="1">
      <alignment horizontal="center"/>
    </xf>
    <xf numFmtId="1" fontId="14" fillId="3" borderId="4" xfId="0" applyNumberFormat="1" applyFont="1" applyFill="1" applyBorder="1" applyAlignment="1">
      <alignment horizontal="center"/>
    </xf>
    <xf numFmtId="1" fontId="3" fillId="3" borderId="0" xfId="0" applyNumberFormat="1" applyFont="1" applyFill="1" applyAlignment="1">
      <alignment horizontal="center"/>
    </xf>
    <xf numFmtId="1" fontId="5" fillId="0" borderId="0" xfId="0" applyNumberFormat="1" applyFont="1" applyAlignment="1">
      <alignment horizontal="center"/>
    </xf>
    <xf numFmtId="1" fontId="51" fillId="0" borderId="0" xfId="0" applyNumberFormat="1" applyFont="1"/>
    <xf numFmtId="0" fontId="37" fillId="0" borderId="18" xfId="0" applyFont="1" applyBorder="1" applyAlignment="1">
      <alignment horizontal="center"/>
    </xf>
    <xf numFmtId="1" fontId="37" fillId="0" borderId="18" xfId="0" applyNumberFormat="1" applyFont="1" applyBorder="1" applyAlignment="1">
      <alignment horizontal="center"/>
    </xf>
    <xf numFmtId="1" fontId="14" fillId="3" borderId="15" xfId="0" applyNumberFormat="1" applyFont="1" applyFill="1" applyBorder="1" applyAlignment="1">
      <alignment horizontal="center"/>
    </xf>
    <xf numFmtId="1" fontId="52" fillId="3" borderId="16" xfId="0" applyNumberFormat="1" applyFont="1" applyFill="1" applyBorder="1" applyAlignment="1">
      <alignment horizontal="center"/>
    </xf>
    <xf numFmtId="1" fontId="14" fillId="3" borderId="16" xfId="0" applyNumberFormat="1" applyFont="1" applyFill="1" applyBorder="1" applyAlignment="1">
      <alignment horizontal="center"/>
    </xf>
    <xf numFmtId="0" fontId="5" fillId="0" borderId="0" xfId="2" applyFont="1" applyAlignment="1">
      <alignment vertical="center" wrapText="1"/>
    </xf>
    <xf numFmtId="0" fontId="5" fillId="0" borderId="0" xfId="2" applyFont="1" applyAlignment="1">
      <alignment vertical="center"/>
    </xf>
    <xf numFmtId="169" fontId="4" fillId="0" borderId="0" xfId="2" applyNumberFormat="1" applyAlignment="1">
      <alignment vertical="center"/>
    </xf>
    <xf numFmtId="0" fontId="5" fillId="0" borderId="0" xfId="2" applyFont="1" applyAlignment="1">
      <alignment horizontal="right" vertical="center" wrapText="1"/>
    </xf>
    <xf numFmtId="0" fontId="0" fillId="22" borderId="0" xfId="0" applyFill="1"/>
    <xf numFmtId="0" fontId="0" fillId="23" borderId="0" xfId="0" applyFill="1"/>
    <xf numFmtId="0" fontId="0" fillId="6" borderId="0" xfId="0" applyFill="1"/>
    <xf numFmtId="0" fontId="5" fillId="0" borderId="0" xfId="2" applyFont="1" applyAlignment="1">
      <alignment horizontal="center" vertical="center"/>
    </xf>
    <xf numFmtId="1" fontId="10" fillId="0" borderId="0" xfId="2" applyNumberFormat="1" applyFont="1" applyAlignment="1">
      <alignment horizontal="center"/>
    </xf>
    <xf numFmtId="0" fontId="2" fillId="0" borderId="0" xfId="2" applyFont="1"/>
    <xf numFmtId="0" fontId="25" fillId="4" borderId="0" xfId="3" applyFont="1" applyFill="1" applyAlignment="1">
      <alignment horizontal="left"/>
    </xf>
    <xf numFmtId="0" fontId="53" fillId="0" borderId="0" xfId="0" applyFont="1"/>
    <xf numFmtId="0" fontId="54" fillId="0" borderId="0" xfId="0" applyFont="1"/>
    <xf numFmtId="0" fontId="5" fillId="12" borderId="4" xfId="2" applyFont="1" applyFill="1" applyBorder="1"/>
    <xf numFmtId="1" fontId="5" fillId="3" borderId="4" xfId="2" applyNumberFormat="1" applyFont="1" applyFill="1" applyBorder="1"/>
    <xf numFmtId="0" fontId="1" fillId="0" borderId="0" xfId="2" applyFont="1" applyAlignment="1">
      <alignment horizontal="left" vertical="center"/>
    </xf>
    <xf numFmtId="3" fontId="39" fillId="0" borderId="0" xfId="0" applyNumberFormat="1" applyFont="1" applyAlignment="1">
      <alignment horizontal="center"/>
    </xf>
    <xf numFmtId="3" fontId="14" fillId="0" borderId="0" xfId="0" applyNumberFormat="1" applyFont="1" applyAlignment="1">
      <alignment horizontal="center"/>
    </xf>
    <xf numFmtId="3" fontId="39" fillId="3" borderId="0" xfId="0" applyNumberFormat="1" applyFont="1" applyFill="1" applyAlignment="1">
      <alignment horizontal="center"/>
    </xf>
    <xf numFmtId="0" fontId="1" fillId="3" borderId="0" xfId="2" applyFont="1" applyFill="1"/>
    <xf numFmtId="1" fontId="4" fillId="3" borderId="0" xfId="2" applyNumberFormat="1" applyFill="1" applyAlignment="1">
      <alignment horizontal="center"/>
    </xf>
    <xf numFmtId="0" fontId="4" fillId="3" borderId="0" xfId="2" applyFill="1"/>
    <xf numFmtId="2" fontId="13" fillId="0" borderId="0" xfId="0" applyNumberFormat="1" applyFont="1"/>
    <xf numFmtId="9" fontId="6" fillId="0" borderId="0" xfId="1" applyFont="1" applyAlignment="1">
      <alignment horizontal="center"/>
    </xf>
    <xf numFmtId="166" fontId="14" fillId="0" borderId="4" xfId="5" applyNumberFormat="1" applyFont="1" applyFill="1" applyBorder="1" applyAlignment="1"/>
    <xf numFmtId="166" fontId="0" fillId="0" borderId="4" xfId="5" applyNumberFormat="1" applyFont="1" applyFill="1" applyBorder="1" applyAlignment="1"/>
    <xf numFmtId="166" fontId="16" fillId="0" borderId="4" xfId="5" applyNumberFormat="1" applyFont="1" applyFill="1" applyBorder="1" applyAlignment="1"/>
    <xf numFmtId="166" fontId="13" fillId="0" borderId="4" xfId="5" applyNumberFormat="1" applyFont="1" applyBorder="1" applyAlignment="1"/>
    <xf numFmtId="166" fontId="5" fillId="0" borderId="4" xfId="5" applyNumberFormat="1" applyFont="1" applyFill="1" applyBorder="1" applyAlignment="1"/>
    <xf numFmtId="0" fontId="55" fillId="0" borderId="0" xfId="0" applyFont="1"/>
    <xf numFmtId="166" fontId="6" fillId="0" borderId="0" xfId="1" applyNumberFormat="1" applyFont="1" applyAlignment="1">
      <alignment horizontal="center"/>
    </xf>
    <xf numFmtId="164" fontId="6" fillId="0" borderId="0" xfId="3" applyNumberFormat="1"/>
    <xf numFmtId="3" fontId="3" fillId="0" borderId="0" xfId="0" applyNumberFormat="1" applyFont="1" applyAlignment="1">
      <alignment horizontal="center"/>
    </xf>
    <xf numFmtId="0" fontId="0" fillId="0" borderId="0" xfId="0" quotePrefix="1" applyAlignment="1">
      <alignment horizontal="center" wrapText="1"/>
    </xf>
    <xf numFmtId="0" fontId="30" fillId="0" borderId="0" xfId="0" applyFont="1" applyAlignment="1">
      <alignment horizontal="left" vertical="center" wrapText="1"/>
    </xf>
    <xf numFmtId="0" fontId="31" fillId="0" borderId="0" xfId="0" applyFont="1" applyAlignment="1">
      <alignment horizontal="center" vertical="center" wrapText="1"/>
    </xf>
    <xf numFmtId="0" fontId="25" fillId="22" borderId="0" xfId="2" applyFont="1" applyFill="1"/>
    <xf numFmtId="0" fontId="24" fillId="22" borderId="0" xfId="2" applyFont="1" applyFill="1"/>
    <xf numFmtId="0" fontId="25" fillId="22" borderId="0" xfId="2" applyFont="1" applyFill="1" applyAlignment="1">
      <alignment horizontal="center"/>
    </xf>
    <xf numFmtId="0" fontId="24" fillId="22" borderId="0" xfId="2" applyFont="1" applyFill="1" applyAlignment="1">
      <alignment horizontal="center"/>
    </xf>
    <xf numFmtId="1" fontId="25" fillId="22" borderId="0" xfId="2" applyNumberFormat="1" applyFont="1" applyFill="1" applyAlignment="1">
      <alignment horizontal="center"/>
    </xf>
    <xf numFmtId="3" fontId="25" fillId="22" borderId="0" xfId="2" applyNumberFormat="1" applyFont="1" applyFill="1" applyAlignment="1">
      <alignment horizontal="center"/>
    </xf>
    <xf numFmtId="0" fontId="5" fillId="11" borderId="0" xfId="2" applyFont="1" applyFill="1"/>
    <xf numFmtId="0" fontId="4" fillId="11" borderId="0" xfId="2" applyFill="1"/>
    <xf numFmtId="0" fontId="5" fillId="11" borderId="0" xfId="2" applyFont="1" applyFill="1" applyAlignment="1">
      <alignment horizontal="center"/>
    </xf>
    <xf numFmtId="0" fontId="4" fillId="11" borderId="0" xfId="2" applyFill="1" applyAlignment="1">
      <alignment horizontal="center"/>
    </xf>
    <xf numFmtId="1" fontId="5" fillId="11" borderId="0" xfId="2" applyNumberFormat="1" applyFont="1" applyFill="1" applyAlignment="1">
      <alignment horizontal="center"/>
    </xf>
    <xf numFmtId="3" fontId="5" fillId="11" borderId="0" xfId="2" applyNumberFormat="1" applyFont="1" applyFill="1" applyAlignment="1">
      <alignment horizontal="center"/>
    </xf>
    <xf numFmtId="1" fontId="9" fillId="0" borderId="0" xfId="2" applyNumberFormat="1" applyFont="1" applyAlignment="1">
      <alignment horizontal="center"/>
    </xf>
    <xf numFmtId="1" fontId="19" fillId="0" borderId="0" xfId="2" applyNumberFormat="1" applyFont="1" applyAlignment="1">
      <alignment horizontal="center"/>
    </xf>
    <xf numFmtId="1" fontId="10" fillId="16" borderId="0" xfId="2" applyNumberFormat="1" applyFont="1" applyFill="1" applyAlignment="1">
      <alignment horizontal="center"/>
    </xf>
    <xf numFmtId="0" fontId="10" fillId="16" borderId="0" xfId="2" applyFont="1" applyFill="1" applyAlignment="1">
      <alignment horizontal="center"/>
    </xf>
    <xf numFmtId="2" fontId="6" fillId="0" borderId="0" xfId="1" applyNumberFormat="1" applyFont="1" applyAlignment="1">
      <alignment horizontal="center"/>
    </xf>
    <xf numFmtId="1" fontId="6" fillId="0" borderId="0" xfId="1" applyNumberFormat="1" applyFont="1" applyAlignment="1">
      <alignment horizontal="center"/>
    </xf>
    <xf numFmtId="2" fontId="12" fillId="0" borderId="9" xfId="0" applyNumberFormat="1" applyFont="1" applyBorder="1" applyAlignment="1">
      <alignment horizontal="center" vertical="center"/>
    </xf>
    <xf numFmtId="1" fontId="49" fillId="13" borderId="4" xfId="8" applyNumberFormat="1" applyFont="1" applyFill="1" applyBorder="1" applyAlignment="1">
      <alignment horizontal="center" vertical="center"/>
    </xf>
    <xf numFmtId="1" fontId="49" fillId="0" borderId="4" xfId="8" applyNumberFormat="1" applyFont="1" applyBorder="1" applyAlignment="1">
      <alignment horizontal="center" vertical="center"/>
    </xf>
    <xf numFmtId="1" fontId="52" fillId="3" borderId="15" xfId="0" applyNumberFormat="1" applyFont="1" applyFill="1" applyBorder="1" applyAlignment="1">
      <alignment horizontal="center"/>
    </xf>
    <xf numFmtId="1" fontId="16" fillId="3" borderId="16" xfId="0" applyNumberFormat="1" applyFont="1" applyFill="1" applyBorder="1" applyAlignment="1">
      <alignment horizontal="center"/>
    </xf>
    <xf numFmtId="3" fontId="11" fillId="24" borderId="7" xfId="0" applyNumberFormat="1" applyFont="1" applyFill="1" applyBorder="1" applyAlignment="1">
      <alignment horizontal="center" vertical="center"/>
    </xf>
    <xf numFmtId="3" fontId="0" fillId="24" borderId="7" xfId="0" applyNumberFormat="1" applyFill="1" applyBorder="1" applyAlignment="1">
      <alignment horizontal="center" vertical="center"/>
    </xf>
    <xf numFmtId="0" fontId="0" fillId="24" borderId="12" xfId="0" applyFill="1" applyBorder="1" applyAlignment="1">
      <alignment vertical="center"/>
    </xf>
    <xf numFmtId="166" fontId="14" fillId="0" borderId="4" xfId="5" applyNumberFormat="1" applyFont="1" applyFill="1" applyBorder="1" applyAlignment="1">
      <alignment horizontal="center" vertical="center"/>
    </xf>
    <xf numFmtId="164" fontId="14" fillId="0" borderId="4" xfId="5" applyFont="1" applyFill="1" applyBorder="1" applyAlignment="1">
      <alignment horizontal="center" vertical="center"/>
    </xf>
    <xf numFmtId="172" fontId="0" fillId="24" borderId="7" xfId="1" applyNumberFormat="1" applyFont="1" applyFill="1" applyBorder="1"/>
    <xf numFmtId="172" fontId="0" fillId="0" borderId="7" xfId="1" applyNumberFormat="1" applyFont="1" applyBorder="1" applyAlignment="1">
      <alignment horizontal="center"/>
    </xf>
    <xf numFmtId="172" fontId="0" fillId="0" borderId="8" xfId="1" applyNumberFormat="1" applyFont="1" applyBorder="1" applyAlignment="1">
      <alignment horizontal="center"/>
    </xf>
    <xf numFmtId="0" fontId="1" fillId="0" borderId="0" xfId="2" applyFont="1" applyAlignment="1">
      <alignment horizontal="center"/>
    </xf>
    <xf numFmtId="0" fontId="44" fillId="0" borderId="0" xfId="2" applyFont="1"/>
    <xf numFmtId="0" fontId="5" fillId="10" borderId="4" xfId="2" applyFont="1" applyFill="1" applyBorder="1" applyAlignment="1">
      <alignment horizontal="center" vertical="center"/>
    </xf>
    <xf numFmtId="0" fontId="15" fillId="10" borderId="4" xfId="2" applyFont="1" applyFill="1" applyBorder="1" applyAlignment="1">
      <alignment horizontal="center" vertical="center"/>
    </xf>
    <xf numFmtId="166" fontId="5" fillId="0" borderId="4" xfId="5" applyNumberFormat="1" applyFont="1" applyFill="1" applyBorder="1" applyAlignment="1">
      <alignment vertical="center"/>
    </xf>
    <xf numFmtId="1" fontId="10" fillId="16" borderId="0" xfId="1" applyNumberFormat="1" applyFont="1" applyFill="1" applyAlignment="1">
      <alignment horizontal="center"/>
    </xf>
    <xf numFmtId="9" fontId="10" fillId="0" borderId="0" xfId="1" applyFont="1" applyFill="1" applyAlignment="1">
      <alignment horizontal="center"/>
    </xf>
    <xf numFmtId="1" fontId="14" fillId="5" borderId="17" xfId="0" applyNumberFormat="1" applyFont="1" applyFill="1" applyBorder="1" applyAlignment="1">
      <alignment horizontal="center"/>
    </xf>
    <xf numFmtId="0" fontId="3" fillId="0" borderId="0" xfId="0" applyFont="1" applyAlignment="1">
      <alignment wrapText="1"/>
    </xf>
    <xf numFmtId="0" fontId="3" fillId="0" borderId="0" xfId="0" quotePrefix="1" applyFont="1" applyAlignment="1">
      <alignment wrapText="1"/>
    </xf>
    <xf numFmtId="0" fontId="3" fillId="0" borderId="0" xfId="0" applyFont="1" applyAlignment="1">
      <alignment vertical="center" wrapText="1"/>
    </xf>
    <xf numFmtId="0" fontId="11" fillId="0" borderId="0" xfId="2" applyFont="1" applyAlignment="1">
      <alignment horizontal="left" vertical="center"/>
    </xf>
    <xf numFmtId="0" fontId="12" fillId="0" borderId="0" xfId="2" applyFont="1" applyAlignment="1">
      <alignment horizontal="left" vertical="center"/>
    </xf>
    <xf numFmtId="0" fontId="11" fillId="0" borderId="0" xfId="0" applyFont="1" applyAlignment="1">
      <alignment horizontal="left" vertical="center"/>
    </xf>
    <xf numFmtId="166" fontId="5" fillId="0" borderId="0" xfId="2" applyNumberFormat="1" applyFont="1"/>
    <xf numFmtId="0" fontId="31" fillId="0" borderId="12" xfId="0" applyFont="1" applyBorder="1" applyAlignment="1">
      <alignment horizontal="center" wrapText="1"/>
    </xf>
    <xf numFmtId="0" fontId="31" fillId="0" borderId="13" xfId="0" applyFont="1" applyBorder="1" applyAlignment="1">
      <alignment horizontal="center" wrapText="1"/>
    </xf>
    <xf numFmtId="0" fontId="31" fillId="0" borderId="14" xfId="0" applyFont="1" applyBorder="1" applyAlignment="1">
      <alignment horizontal="center" wrapText="1"/>
    </xf>
    <xf numFmtId="172" fontId="0" fillId="0" borderId="0" xfId="0" applyNumberFormat="1" applyAlignment="1">
      <alignment horizontal="center" vertical="center"/>
    </xf>
    <xf numFmtId="172" fontId="0" fillId="0" borderId="0" xfId="0" applyNumberFormat="1" applyAlignment="1">
      <alignment horizontal="center" vertical="center" wrapText="1"/>
    </xf>
    <xf numFmtId="2" fontId="26" fillId="0" borderId="0" xfId="0" applyNumberFormat="1" applyFont="1" applyAlignment="1">
      <alignment horizontal="center" vertical="center"/>
    </xf>
    <xf numFmtId="9" fontId="0" fillId="0" borderId="0" xfId="1" applyFont="1" applyBorder="1" applyAlignment="1">
      <alignment horizontal="center" vertical="center"/>
    </xf>
    <xf numFmtId="9" fontId="26" fillId="0" borderId="0" xfId="1" applyFont="1" applyBorder="1" applyAlignment="1">
      <alignment horizontal="center" vertical="center"/>
    </xf>
    <xf numFmtId="9" fontId="0" fillId="0" borderId="0" xfId="1" applyFont="1" applyBorder="1" applyAlignment="1">
      <alignment vertical="center"/>
    </xf>
    <xf numFmtId="4" fontId="0" fillId="0" borderId="0" xfId="0" applyNumberFormat="1" applyAlignment="1">
      <alignment horizontal="center" vertical="center"/>
    </xf>
    <xf numFmtId="3" fontId="0" fillId="24" borderId="0" xfId="0" applyNumberFormat="1" applyFill="1" applyAlignment="1">
      <alignment horizontal="center" vertical="center"/>
    </xf>
    <xf numFmtId="0" fontId="0" fillId="24" borderId="0" xfId="0" applyFill="1" applyAlignment="1">
      <alignment vertical="center"/>
    </xf>
    <xf numFmtId="3" fontId="3" fillId="0" borderId="0" xfId="0" applyNumberFormat="1" applyFont="1" applyAlignment="1">
      <alignment horizontal="center" vertical="center"/>
    </xf>
    <xf numFmtId="0" fontId="0" fillId="24" borderId="0" xfId="0" applyFill="1"/>
    <xf numFmtId="172" fontId="0" fillId="0" borderId="7" xfId="0" applyNumberFormat="1" applyBorder="1" applyAlignment="1">
      <alignment horizontal="center" vertical="center"/>
    </xf>
    <xf numFmtId="172" fontId="0" fillId="0" borderId="8" xfId="0" applyNumberFormat="1" applyBorder="1" applyAlignment="1">
      <alignment horizontal="center" vertical="center"/>
    </xf>
    <xf numFmtId="0" fontId="0" fillId="0" borderId="6" xfId="0" applyBorder="1" applyAlignment="1">
      <alignment horizontal="left" vertical="center" wrapText="1"/>
    </xf>
    <xf numFmtId="0" fontId="0" fillId="0" borderId="8" xfId="0" applyBorder="1"/>
    <xf numFmtId="3" fontId="0" fillId="24" borderId="10" xfId="0" applyNumberFormat="1" applyFill="1" applyBorder="1" applyAlignment="1">
      <alignment horizontal="center" vertical="center"/>
    </xf>
    <xf numFmtId="0" fontId="0" fillId="24" borderId="10" xfId="0" applyFill="1" applyBorder="1" applyAlignment="1">
      <alignment vertical="center"/>
    </xf>
    <xf numFmtId="0" fontId="0" fillId="24" borderId="10" xfId="0" applyFill="1" applyBorder="1"/>
    <xf numFmtId="0" fontId="0" fillId="24" borderId="12" xfId="0" applyFill="1" applyBorder="1"/>
    <xf numFmtId="0" fontId="0" fillId="24" borderId="14" xfId="0" applyFill="1" applyBorder="1"/>
    <xf numFmtId="172" fontId="0" fillId="0" borderId="6" xfId="0" applyNumberFormat="1" applyBorder="1" applyAlignment="1">
      <alignment horizontal="center" vertical="center"/>
    </xf>
    <xf numFmtId="0" fontId="0" fillId="0" borderId="12" xfId="0" applyBorder="1"/>
    <xf numFmtId="0" fontId="0" fillId="0" borderId="14" xfId="0" applyBorder="1"/>
    <xf numFmtId="3" fontId="0" fillId="24" borderId="8" xfId="0" applyNumberFormat="1" applyFill="1" applyBorder="1" applyAlignment="1">
      <alignment horizontal="center" vertical="center"/>
    </xf>
    <xf numFmtId="0" fontId="0" fillId="24" borderId="14" xfId="0" applyFill="1" applyBorder="1" applyAlignment="1">
      <alignment vertical="center"/>
    </xf>
    <xf numFmtId="2" fontId="26" fillId="24" borderId="9" xfId="0" applyNumberFormat="1" applyFont="1" applyFill="1" applyBorder="1" applyAlignment="1">
      <alignment horizontal="center" vertical="center"/>
    </xf>
    <xf numFmtId="2" fontId="26" fillId="24" borderId="0" xfId="0" applyNumberFormat="1" applyFont="1" applyFill="1" applyAlignment="1">
      <alignment horizontal="center" vertical="center"/>
    </xf>
    <xf numFmtId="0" fontId="0" fillId="24" borderId="9" xfId="0" applyFill="1" applyBorder="1" applyAlignment="1">
      <alignment vertical="center"/>
    </xf>
    <xf numFmtId="172" fontId="0" fillId="24" borderId="6" xfId="0" applyNumberFormat="1" applyFill="1" applyBorder="1" applyAlignment="1">
      <alignment horizontal="center" vertical="center"/>
    </xf>
    <xf numFmtId="172" fontId="0" fillId="24" borderId="9" xfId="0" applyNumberFormat="1" applyFill="1" applyBorder="1" applyAlignment="1">
      <alignment horizontal="center" vertical="center"/>
    </xf>
    <xf numFmtId="172" fontId="0" fillId="24" borderId="9" xfId="0" applyNumberFormat="1" applyFill="1" applyBorder="1" applyAlignment="1">
      <alignment horizontal="center" vertical="center" wrapText="1"/>
    </xf>
    <xf numFmtId="0" fontId="0" fillId="24" borderId="13" xfId="0" applyFill="1" applyBorder="1" applyAlignment="1">
      <alignment vertical="center"/>
    </xf>
    <xf numFmtId="3" fontId="0" fillId="24" borderId="6" xfId="0" applyNumberFormat="1" applyFill="1" applyBorder="1" applyAlignment="1">
      <alignment horizontal="center" vertical="center"/>
    </xf>
    <xf numFmtId="3" fontId="0" fillId="24" borderId="9" xfId="0" applyNumberFormat="1" applyFill="1" applyBorder="1" applyAlignment="1">
      <alignment horizontal="center" vertical="center"/>
    </xf>
    <xf numFmtId="9" fontId="0" fillId="24" borderId="9" xfId="1" applyFont="1" applyFill="1" applyBorder="1" applyAlignment="1">
      <alignment vertical="center"/>
    </xf>
    <xf numFmtId="1" fontId="0" fillId="24" borderId="7" xfId="0" applyNumberFormat="1" applyFill="1" applyBorder="1" applyAlignment="1">
      <alignment horizontal="center" vertical="center"/>
    </xf>
    <xf numFmtId="1" fontId="0" fillId="24" borderId="8" xfId="0" applyNumberFormat="1" applyFill="1" applyBorder="1" applyAlignment="1">
      <alignment horizontal="center" vertical="center"/>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24" borderId="6" xfId="0" applyNumberFormat="1" applyFill="1" applyBorder="1" applyAlignment="1">
      <alignment horizontal="center" vertical="center"/>
    </xf>
    <xf numFmtId="2" fontId="0" fillId="22" borderId="0" xfId="0" applyNumberFormat="1" applyFill="1" applyAlignment="1">
      <alignment horizontal="center" vertical="center"/>
    </xf>
    <xf numFmtId="2" fontId="0" fillId="22" borderId="12" xfId="0" applyNumberFormat="1" applyFill="1" applyBorder="1" applyAlignment="1">
      <alignment horizontal="center" vertical="center"/>
    </xf>
    <xf numFmtId="0" fontId="11" fillId="0" borderId="0" xfId="0" applyFont="1" applyAlignment="1">
      <alignment vertical="center"/>
    </xf>
    <xf numFmtId="9" fontId="0" fillId="0" borderId="9" xfId="1" applyFont="1" applyBorder="1" applyAlignment="1">
      <alignment horizontal="center" vertical="center"/>
    </xf>
    <xf numFmtId="9" fontId="0" fillId="24" borderId="9" xfId="1" applyFont="1" applyFill="1" applyBorder="1" applyAlignment="1">
      <alignment horizontal="center" vertical="center"/>
    </xf>
    <xf numFmtId="172" fontId="0" fillId="24" borderId="8" xfId="1" applyNumberFormat="1" applyFont="1" applyFill="1" applyBorder="1"/>
    <xf numFmtId="172" fontId="0" fillId="0" borderId="6" xfId="1" applyNumberFormat="1" applyFont="1" applyBorder="1" applyAlignment="1">
      <alignment horizontal="center"/>
    </xf>
    <xf numFmtId="172" fontId="0" fillId="24" borderId="6" xfId="1" applyNumberFormat="1" applyFont="1" applyFill="1" applyBorder="1" applyAlignment="1">
      <alignment horizontal="center"/>
    </xf>
    <xf numFmtId="2" fontId="26" fillId="24" borderId="12" xfId="0" applyNumberFormat="1" applyFont="1" applyFill="1" applyBorder="1" applyAlignment="1">
      <alignment horizontal="center" vertical="center"/>
    </xf>
    <xf numFmtId="2" fontId="26" fillId="24" borderId="13" xfId="0" applyNumberFormat="1" applyFont="1" applyFill="1" applyBorder="1" applyAlignment="1">
      <alignment horizontal="center" vertical="center"/>
    </xf>
    <xf numFmtId="0" fontId="60" fillId="0" borderId="0" xfId="0" applyFont="1" applyAlignment="1">
      <alignment horizontal="left"/>
    </xf>
    <xf numFmtId="0" fontId="0" fillId="26" borderId="0" xfId="0" applyFill="1"/>
    <xf numFmtId="0" fontId="0" fillId="27" borderId="0" xfId="0" applyFill="1"/>
    <xf numFmtId="3" fontId="11" fillId="0" borderId="10" xfId="0" applyNumberFormat="1" applyFont="1" applyBorder="1" applyAlignment="1">
      <alignment horizontal="center" vertical="center"/>
    </xf>
    <xf numFmtId="0" fontId="67" fillId="0" borderId="0" xfId="2" applyFont="1"/>
    <xf numFmtId="174" fontId="14" fillId="0" borderId="0" xfId="0" applyNumberFormat="1" applyFont="1" applyAlignment="1">
      <alignment horizontal="center"/>
    </xf>
    <xf numFmtId="9" fontId="1" fillId="0" borderId="0" xfId="1" applyFont="1" applyAlignment="1">
      <alignment horizontal="center"/>
    </xf>
    <xf numFmtId="0" fontId="55" fillId="0" borderId="0" xfId="0" applyFont="1" applyAlignment="1">
      <alignment vertical="center"/>
    </xf>
    <xf numFmtId="0" fontId="11" fillId="0" borderId="0" xfId="0" applyFont="1" applyAlignment="1">
      <alignment horizontal="center" wrapText="1"/>
    </xf>
    <xf numFmtId="167" fontId="63" fillId="25" borderId="0" xfId="11" quotePrefix="1" applyNumberFormat="1" applyFont="1" applyFill="1" applyAlignment="1">
      <alignment horizontal="left" wrapText="1" indent="9"/>
    </xf>
    <xf numFmtId="167" fontId="66" fillId="25" borderId="0" xfId="11" quotePrefix="1" applyNumberFormat="1" applyFont="1" applyFill="1" applyAlignment="1">
      <alignment horizontal="left" wrapText="1" indent="9"/>
    </xf>
    <xf numFmtId="167" fontId="64" fillId="25" borderId="0" xfId="11" quotePrefix="1" applyNumberFormat="1" applyFont="1" applyFill="1" applyAlignment="1">
      <alignment horizontal="left" wrapText="1"/>
    </xf>
    <xf numFmtId="167" fontId="64" fillId="25" borderId="0" xfId="11" applyNumberFormat="1" applyFont="1" applyFill="1" applyAlignment="1">
      <alignment horizontal="left"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56" fillId="0" borderId="8" xfId="0" applyFont="1" applyBorder="1" applyAlignment="1">
      <alignment horizontal="left" vertical="center" wrapText="1"/>
    </xf>
    <xf numFmtId="0" fontId="56" fillId="0" borderId="10" xfId="0" applyFont="1" applyBorder="1" applyAlignment="1">
      <alignment horizontal="left" vertical="center"/>
    </xf>
    <xf numFmtId="0" fontId="56" fillId="0" borderId="1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56" fillId="0" borderId="10" xfId="0" applyFont="1" applyBorder="1" applyAlignment="1">
      <alignment horizontal="left" vertical="center" wrapText="1"/>
    </xf>
    <xf numFmtId="0" fontId="56" fillId="0" borderId="14" xfId="0" applyFont="1" applyBorder="1" applyAlignment="1">
      <alignment horizontal="left" vertical="center" wrapText="1"/>
    </xf>
    <xf numFmtId="0" fontId="3" fillId="0" borderId="6" xfId="0" applyFont="1" applyBorder="1" applyAlignment="1">
      <alignment horizontal="left" vertical="center" indent="2"/>
    </xf>
    <xf numFmtId="0" fontId="3" fillId="0" borderId="9" xfId="0" applyFont="1" applyBorder="1" applyAlignment="1">
      <alignment horizontal="left" vertical="center" indent="2"/>
    </xf>
    <xf numFmtId="0" fontId="3" fillId="0" borderId="13" xfId="0" applyFont="1" applyBorder="1" applyAlignment="1">
      <alignment horizontal="left" vertical="center" indent="2"/>
    </xf>
    <xf numFmtId="0" fontId="57" fillId="0" borderId="8" xfId="0" applyFont="1" applyBorder="1" applyAlignment="1">
      <alignment horizontal="left" vertical="center" wrapText="1"/>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55" fillId="0" borderId="25" xfId="0" applyFont="1" applyBorder="1" applyAlignment="1">
      <alignment horizontal="left" vertical="center" wrapText="1"/>
    </xf>
    <xf numFmtId="0" fontId="55" fillId="0" borderId="26" xfId="0" applyFont="1" applyBorder="1" applyAlignment="1">
      <alignment horizontal="left" vertical="center"/>
    </xf>
    <xf numFmtId="0" fontId="55" fillId="0" borderId="20" xfId="0" applyFont="1" applyBorder="1" applyAlignment="1">
      <alignment horizontal="left" vertical="center"/>
    </xf>
    <xf numFmtId="0" fontId="30" fillId="0" borderId="6" xfId="0" applyFont="1" applyBorder="1" applyAlignment="1">
      <alignment horizontal="center" wrapText="1"/>
    </xf>
    <xf numFmtId="0" fontId="30" fillId="0" borderId="25" xfId="0" applyFont="1" applyBorder="1" applyAlignment="1">
      <alignment horizontal="center" wrapText="1"/>
    </xf>
    <xf numFmtId="0" fontId="30" fillId="0" borderId="7" xfId="0" applyFont="1" applyBorder="1" applyAlignment="1">
      <alignment horizontal="center" wrapText="1"/>
    </xf>
    <xf numFmtId="0" fontId="30" fillId="0" borderId="8" xfId="0" applyFont="1" applyBorder="1" applyAlignment="1">
      <alignment horizontal="center" wrapText="1"/>
    </xf>
    <xf numFmtId="0" fontId="44" fillId="0" borderId="6" xfId="0" applyFont="1" applyBorder="1" applyAlignment="1">
      <alignment horizontal="left" vertical="center"/>
    </xf>
    <xf numFmtId="0" fontId="44" fillId="0" borderId="13" xfId="0" applyFont="1" applyBorder="1" applyAlignment="1">
      <alignment horizontal="left" vertical="center"/>
    </xf>
    <xf numFmtId="0" fontId="44" fillId="0" borderId="8" xfId="0" applyFont="1" applyBorder="1" applyAlignment="1">
      <alignment horizontal="left" vertical="center"/>
    </xf>
    <xf numFmtId="0" fontId="44" fillId="0" borderId="14" xfId="0" applyFont="1" applyBorder="1" applyAlignment="1">
      <alignment horizontal="left" vertical="center"/>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5" xfId="0" applyFont="1" applyBorder="1" applyAlignment="1">
      <alignment horizontal="center" vertical="center" wrapText="1"/>
    </xf>
    <xf numFmtId="0" fontId="3" fillId="0" borderId="6" xfId="0" applyFont="1" applyBorder="1" applyAlignment="1">
      <alignment horizontal="left" vertical="center" wrapText="1" indent="2"/>
    </xf>
    <xf numFmtId="0" fontId="3" fillId="0" borderId="9" xfId="0" applyFont="1" applyBorder="1" applyAlignment="1">
      <alignment horizontal="left" vertical="center" wrapText="1" indent="2"/>
    </xf>
    <xf numFmtId="0" fontId="3" fillId="0" borderId="13" xfId="0" applyFont="1" applyBorder="1" applyAlignment="1">
      <alignment horizontal="left" vertical="center" wrapText="1" indent="2"/>
    </xf>
    <xf numFmtId="0" fontId="5" fillId="0" borderId="11" xfId="2" applyFont="1" applyBorder="1" applyAlignment="1">
      <alignment horizontal="center" vertical="center"/>
    </xf>
    <xf numFmtId="0" fontId="5" fillId="0" borderId="5" xfId="2" applyFont="1" applyBorder="1" applyAlignment="1">
      <alignment horizontal="center" vertical="center"/>
    </xf>
    <xf numFmtId="164" fontId="5" fillId="0" borderId="1" xfId="5" applyFont="1" applyBorder="1" applyAlignment="1">
      <alignment horizontal="center"/>
    </xf>
    <xf numFmtId="164" fontId="5" fillId="0" borderId="2" xfId="5" applyFont="1" applyBorder="1" applyAlignment="1">
      <alignment horizontal="center"/>
    </xf>
    <xf numFmtId="0" fontId="45" fillId="0" borderId="0" xfId="0" applyFont="1" applyAlignment="1">
      <alignment horizontal="center"/>
    </xf>
    <xf numFmtId="0" fontId="44" fillId="0" borderId="0" xfId="2" applyFont="1" applyAlignment="1">
      <alignment horizontal="center"/>
    </xf>
    <xf numFmtId="164" fontId="5" fillId="10" borderId="1" xfId="5" applyFont="1" applyFill="1" applyBorder="1" applyAlignment="1">
      <alignment horizontal="center"/>
    </xf>
    <xf numFmtId="164" fontId="5" fillId="10" borderId="2" xfId="5" applyFont="1" applyFill="1" applyBorder="1" applyAlignment="1">
      <alignment horizontal="center"/>
    </xf>
    <xf numFmtId="164" fontId="5" fillId="10" borderId="18" xfId="5" applyFont="1" applyFill="1" applyBorder="1" applyAlignment="1">
      <alignment horizontal="center" vertical="center"/>
    </xf>
    <xf numFmtId="164" fontId="5" fillId="10" borderId="5" xfId="5" applyFont="1" applyFill="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xf>
    <xf numFmtId="0" fontId="5" fillId="0" borderId="2" xfId="3" applyFont="1" applyBorder="1" applyAlignment="1">
      <alignment horizontal="center"/>
    </xf>
    <xf numFmtId="0" fontId="1" fillId="0" borderId="0" xfId="2" applyFont="1" applyAlignment="1">
      <alignment horizontal="center"/>
    </xf>
    <xf numFmtId="0" fontId="4" fillId="0" borderId="0" xfId="2" applyAlignment="1">
      <alignment horizontal="center"/>
    </xf>
    <xf numFmtId="0" fontId="5" fillId="13" borderId="1" xfId="2" applyFont="1" applyFill="1" applyBorder="1" applyAlignment="1">
      <alignment horizontal="center" vertical="center"/>
    </xf>
    <xf numFmtId="0" fontId="5" fillId="13" borderId="3" xfId="2" applyFont="1" applyFill="1" applyBorder="1" applyAlignment="1">
      <alignment horizontal="center" vertical="center"/>
    </xf>
    <xf numFmtId="0" fontId="5" fillId="13" borderId="11" xfId="2" applyFont="1" applyFill="1" applyBorder="1" applyAlignment="1">
      <alignment horizontal="center" vertical="center"/>
    </xf>
    <xf numFmtId="0" fontId="5" fillId="13" borderId="5" xfId="2" applyFont="1" applyFill="1" applyBorder="1" applyAlignment="1">
      <alignment horizontal="center" vertical="center"/>
    </xf>
    <xf numFmtId="0" fontId="5" fillId="13" borderId="21" xfId="2" applyFont="1" applyFill="1" applyBorder="1" applyAlignment="1">
      <alignment horizontal="center" vertical="center"/>
    </xf>
    <xf numFmtId="0" fontId="5" fillId="13" borderId="22" xfId="2" applyFont="1" applyFill="1" applyBorder="1" applyAlignment="1">
      <alignment horizontal="center" vertical="center"/>
    </xf>
    <xf numFmtId="0" fontId="5" fillId="0" borderId="0" xfId="0" applyFont="1" applyAlignment="1">
      <alignment horizontal="center"/>
    </xf>
    <xf numFmtId="0" fontId="37" fillId="0" borderId="1" xfId="0" applyFont="1" applyBorder="1" applyAlignment="1">
      <alignment horizontal="center"/>
    </xf>
    <xf numFmtId="0" fontId="37" fillId="0" borderId="2" xfId="0" applyFont="1" applyBorder="1" applyAlignment="1">
      <alignment horizontal="center"/>
    </xf>
    <xf numFmtId="0" fontId="4" fillId="0" borderId="11" xfId="2" applyBorder="1" applyAlignment="1">
      <alignment horizontal="center" vertical="center"/>
    </xf>
    <xf numFmtId="0" fontId="4" fillId="0" borderId="5" xfId="2" applyBorder="1" applyAlignment="1">
      <alignment horizontal="center" vertical="center"/>
    </xf>
    <xf numFmtId="0" fontId="59" fillId="0" borderId="0" xfId="0" applyFont="1" applyAlignment="1">
      <alignment horizontal="center"/>
    </xf>
    <xf numFmtId="0" fontId="10" fillId="0" borderId="0" xfId="2" applyFont="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4" xfId="2" applyFont="1" applyBorder="1" applyAlignment="1">
      <alignment horizontal="center"/>
    </xf>
    <xf numFmtId="0" fontId="14" fillId="0" borderId="1" xfId="2" applyFont="1" applyBorder="1" applyAlignment="1">
      <alignment horizontal="center"/>
    </xf>
    <xf numFmtId="0" fontId="14" fillId="0" borderId="2" xfId="2" applyFont="1" applyBorder="1" applyAlignment="1">
      <alignment horizontal="center"/>
    </xf>
    <xf numFmtId="0" fontId="5" fillId="0" borderId="18" xfId="2" applyFont="1" applyBorder="1" applyAlignment="1">
      <alignment horizontal="center" vertical="center"/>
    </xf>
    <xf numFmtId="0" fontId="0" fillId="0" borderId="0" xfId="0" applyAlignment="1">
      <alignment horizontal="center" vertical="center"/>
    </xf>
    <xf numFmtId="9" fontId="1" fillId="0" borderId="0" xfId="1" applyFont="1" applyAlignment="1">
      <alignment horizontal="center" vertical="center"/>
    </xf>
    <xf numFmtId="9" fontId="1" fillId="0" borderId="0" xfId="1" applyFont="1"/>
    <xf numFmtId="166" fontId="1" fillId="0" borderId="4" xfId="5" applyNumberFormat="1" applyFont="1" applyBorder="1" applyAlignment="1">
      <alignment horizontal="center"/>
    </xf>
    <xf numFmtId="10" fontId="1" fillId="0" borderId="0" xfId="1" applyNumberFormat="1" applyFont="1" applyAlignment="1">
      <alignment horizontal="center"/>
    </xf>
    <xf numFmtId="172" fontId="1" fillId="16" borderId="0" xfId="1" applyNumberFormat="1" applyFont="1" applyFill="1" applyAlignment="1">
      <alignment horizontal="center"/>
    </xf>
    <xf numFmtId="172" fontId="1" fillId="0" borderId="0" xfId="1" applyNumberFormat="1" applyFont="1" applyAlignment="1">
      <alignment horizontal="center"/>
    </xf>
    <xf numFmtId="10" fontId="1" fillId="0" borderId="0" xfId="1" applyNumberFormat="1" applyFont="1"/>
    <xf numFmtId="9" fontId="1" fillId="0" borderId="0" xfId="1" applyFont="1" applyFill="1"/>
    <xf numFmtId="9" fontId="1" fillId="12" borderId="0" xfId="1" applyFont="1" applyFill="1"/>
    <xf numFmtId="172" fontId="1" fillId="0" borderId="0" xfId="1" applyNumberFormat="1" applyFont="1"/>
    <xf numFmtId="169" fontId="1" fillId="0" borderId="4" xfId="5" applyNumberFormat="1" applyFont="1" applyFill="1" applyBorder="1" applyAlignment="1">
      <alignment horizontal="center" vertical="center"/>
    </xf>
    <xf numFmtId="169" fontId="1" fillId="7" borderId="4" xfId="5" applyNumberFormat="1" applyFont="1" applyFill="1" applyBorder="1" applyAlignment="1">
      <alignment horizontal="center" vertical="center"/>
    </xf>
    <xf numFmtId="166" fontId="1" fillId="0" borderId="0" xfId="8" applyNumberFormat="1" applyFont="1" applyBorder="1"/>
  </cellXfs>
  <cellStyles count="16">
    <cellStyle name="Comma 2" xfId="4" xr:uid="{358F6219-62C9-4007-A2D7-315A61B713D7}"/>
    <cellStyle name="Comma 2 2" xfId="8" xr:uid="{3CEB4274-60C9-400B-AB71-73A1C8DAD3BE}"/>
    <cellStyle name="Comma 3" xfId="5" xr:uid="{544D07E8-13A7-4C09-AC2C-E6CAE10E555D}"/>
    <cellStyle name="Hyperlink 2" xfId="7" xr:uid="{CDFB5A72-AEA2-498A-86A4-3AC90C262DD5}"/>
    <cellStyle name="Normal" xfId="0" builtinId="0"/>
    <cellStyle name="Normal 2" xfId="2" xr:uid="{5AA54E6E-8D03-44F2-8849-EDEFBEBE5768}"/>
    <cellStyle name="Normal 2 2" xfId="3" xr:uid="{B28135F4-533F-4EDF-A1DE-050E025D1134}"/>
    <cellStyle name="Normal 2 5" xfId="14" xr:uid="{691FC831-26E7-4F4C-8C4A-8DF37C6ED520}"/>
    <cellStyle name="Normal 3" xfId="15" xr:uid="{E95EA046-6E32-4914-B97A-7474708A1E26}"/>
    <cellStyle name="Normal 4" xfId="10" xr:uid="{76579E60-A8D8-488F-A626-50FD378AC12A}"/>
    <cellStyle name="Normal 6" xfId="12" xr:uid="{0C2F062B-BDA0-48A1-B1AA-06637DC8CD96}"/>
    <cellStyle name="Percent" xfId="1" builtinId="5"/>
    <cellStyle name="Percent 2" xfId="6" xr:uid="{A3B58856-4CFD-44B3-A711-64275FFBE9E7}"/>
    <cellStyle name="Percent 2 2" xfId="11" xr:uid="{7C50F38D-1066-4D85-B769-3BD1B044D36F}"/>
    <cellStyle name="Percent 2 3" xfId="9" xr:uid="{F576A1F1-9E5E-46D1-B44C-EB9C99304F8C}"/>
    <cellStyle name="Percent 3" xfId="13" xr:uid="{38FB5D6B-B4FF-4CE3-8002-88B2A3851AA6}"/>
  </cellStyles>
  <dxfs count="154">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9" tint="0.39994506668294322"/>
        </patternFill>
      </fill>
    </dxf>
    <dxf>
      <fill>
        <patternFill>
          <bgColor theme="6"/>
        </patternFill>
      </fill>
    </dxf>
    <dxf>
      <fill>
        <patternFill>
          <bgColor theme="7"/>
        </patternFill>
      </fill>
    </dxf>
    <dxf>
      <fill>
        <patternFill>
          <bgColor theme="8" tint="-0.24994659260841701"/>
        </patternFill>
      </fill>
    </dxf>
    <dxf>
      <fill>
        <patternFill>
          <bgColor theme="9" tint="-0.24994659260841701"/>
        </patternFill>
      </fill>
    </dxf>
    <dxf>
      <fill>
        <patternFill>
          <bgColor theme="8" tint="-0.24994659260841701"/>
        </patternFill>
      </fill>
    </dxf>
    <dxf>
      <fill>
        <patternFill>
          <bgColor theme="9" tint="-0.24994659260841701"/>
        </patternFill>
      </fill>
    </dxf>
    <dxf>
      <fill>
        <patternFill>
          <bgColor theme="9" tint="0.39994506668294322"/>
        </patternFill>
      </fill>
    </dxf>
    <dxf>
      <fill>
        <patternFill>
          <bgColor theme="6"/>
        </patternFill>
      </fill>
    </dxf>
    <dxf>
      <fill>
        <patternFill>
          <bgColor theme="7"/>
        </patternFill>
      </fill>
    </dxf>
    <dxf>
      <fill>
        <patternFill>
          <bgColor theme="6"/>
        </patternFill>
      </fill>
    </dxf>
    <dxf>
      <fill>
        <patternFill>
          <bgColor theme="9" tint="-0.24994659260841701"/>
        </patternFill>
      </fill>
    </dxf>
    <dxf>
      <fill>
        <patternFill>
          <bgColor theme="9" tint="0.39994506668294322"/>
        </patternFill>
      </fill>
    </dxf>
    <dxf>
      <fill>
        <patternFill>
          <bgColor theme="7"/>
        </patternFill>
      </fill>
    </dxf>
    <dxf>
      <fill>
        <patternFill>
          <bgColor theme="8" tint="-0.24994659260841701"/>
        </patternFill>
      </fill>
    </dxf>
    <dxf>
      <fill>
        <patternFill>
          <bgColor theme="7"/>
        </patternFill>
      </fill>
    </dxf>
    <dxf>
      <fill>
        <patternFill>
          <bgColor theme="6"/>
        </patternFill>
      </fill>
    </dxf>
    <dxf>
      <fill>
        <patternFill>
          <bgColor theme="9" tint="0.39994506668294322"/>
        </patternFill>
      </fill>
    </dxf>
    <dxf>
      <fill>
        <patternFill>
          <bgColor theme="9" tint="-0.24994659260841701"/>
        </patternFill>
      </fill>
    </dxf>
    <dxf>
      <fill>
        <patternFill>
          <bgColor theme="8" tint="-0.24994659260841701"/>
        </patternFill>
      </fill>
    </dxf>
    <dxf>
      <fill>
        <patternFill>
          <bgColor theme="9" tint="0.39994506668294322"/>
        </patternFill>
      </fill>
    </dxf>
    <dxf>
      <fill>
        <patternFill>
          <bgColor theme="9" tint="-0.24994659260841701"/>
        </patternFill>
      </fill>
    </dxf>
    <dxf>
      <fill>
        <patternFill>
          <bgColor theme="7"/>
        </patternFill>
      </fill>
    </dxf>
    <dxf>
      <fill>
        <patternFill>
          <bgColor theme="6"/>
        </patternFill>
      </fill>
    </dxf>
    <dxf>
      <fill>
        <patternFill>
          <bgColor theme="9" tint="0.39994506668294322"/>
        </patternFill>
      </fill>
    </dxf>
    <dxf>
      <fill>
        <patternFill>
          <bgColor theme="5"/>
        </patternFill>
      </fill>
    </dxf>
    <dxf>
      <fill>
        <patternFill>
          <bgColor theme="6"/>
        </patternFill>
      </fill>
    </dxf>
    <dxf>
      <fill>
        <patternFill>
          <bgColor theme="5"/>
        </patternFill>
      </fill>
    </dxf>
    <dxf>
      <fill>
        <patternFill>
          <bgColor theme="7"/>
        </patternFill>
      </fill>
    </dxf>
    <dxf>
      <fill>
        <patternFill>
          <bgColor theme="6"/>
        </patternFill>
      </fill>
    </dxf>
    <dxf>
      <fill>
        <patternFill>
          <bgColor theme="6"/>
        </patternFill>
      </fill>
    </dxf>
    <dxf>
      <fill>
        <patternFill>
          <bgColor theme="9" tint="0.39994506668294322"/>
        </patternFill>
      </fill>
    </dxf>
    <dxf>
      <fill>
        <patternFill>
          <bgColor theme="6"/>
        </patternFill>
      </fill>
    </dxf>
    <dxf>
      <fill>
        <patternFill>
          <bgColor theme="9" tint="0.39994506668294322"/>
        </patternFill>
      </fill>
    </dxf>
    <dxf>
      <fill>
        <patternFill>
          <bgColor theme="6"/>
        </patternFill>
      </fill>
    </dxf>
    <dxf>
      <fill>
        <patternFill>
          <bgColor theme="9" tint="0.39994506668294322"/>
        </patternFill>
      </fill>
    </dxf>
    <dxf>
      <fill>
        <patternFill>
          <bgColor theme="7"/>
        </patternFill>
      </fill>
    </dxf>
    <dxf>
      <fill>
        <patternFill>
          <bgColor theme="9" tint="0.39994506668294322"/>
        </patternFill>
      </fill>
    </dxf>
    <dxf>
      <fill>
        <patternFill>
          <bgColor theme="9" tint="-0.24994659260841701"/>
        </patternFill>
      </fill>
    </dxf>
    <dxf>
      <fill>
        <patternFill>
          <bgColor theme="6"/>
        </patternFill>
      </fill>
    </dxf>
    <dxf>
      <fill>
        <patternFill>
          <bgColor theme="9" tint="0.39994506668294322"/>
        </patternFill>
      </fill>
    </dxf>
    <dxf>
      <fill>
        <patternFill>
          <bgColor theme="9" tint="0.39994506668294322"/>
        </patternFill>
      </fill>
    </dxf>
    <dxf>
      <fill>
        <patternFill>
          <bgColor theme="6"/>
        </patternFill>
      </fill>
    </dxf>
    <dxf>
      <fill>
        <patternFill>
          <bgColor theme="7"/>
        </patternFill>
      </fill>
    </dxf>
    <dxf>
      <fill>
        <patternFill>
          <bgColor theme="9" tint="-0.24994659260841701"/>
        </patternFill>
      </fill>
    </dxf>
    <dxf>
      <fill>
        <patternFill>
          <bgColor theme="9" tint="0.39994506668294322"/>
        </patternFill>
      </fill>
    </dxf>
    <dxf>
      <fill>
        <patternFill>
          <bgColor theme="5"/>
        </patternFill>
      </fill>
    </dxf>
    <dxf>
      <fill>
        <patternFill>
          <bgColor theme="7"/>
        </patternFill>
      </fill>
    </dxf>
    <dxf>
      <fill>
        <patternFill>
          <bgColor theme="5"/>
        </patternFill>
      </fill>
    </dxf>
    <dxf>
      <fill>
        <patternFill>
          <bgColor theme="6"/>
        </patternFill>
      </fill>
    </dxf>
    <dxf>
      <fill>
        <patternFill>
          <bgColor theme="7"/>
        </patternFill>
      </fill>
    </dxf>
    <dxf>
      <fill>
        <patternFill>
          <bgColor theme="6"/>
        </patternFill>
      </fill>
    </dxf>
    <dxf>
      <fill>
        <patternFill>
          <bgColor theme="9" tint="0.39994506668294322"/>
        </patternFill>
      </fill>
    </dxf>
    <dxf>
      <fill>
        <patternFill>
          <bgColor theme="9" tint="-0.24994659260841701"/>
        </patternFill>
      </fill>
    </dxf>
    <dxf>
      <fill>
        <patternFill>
          <bgColor theme="8" tint="-0.24994659260841701"/>
        </patternFill>
      </fill>
    </dxf>
    <dxf>
      <fill>
        <patternFill>
          <bgColor theme="9" tint="0.39994506668294322"/>
        </patternFill>
      </fill>
    </dxf>
    <dxf>
      <fill>
        <patternFill>
          <bgColor theme="9" tint="-0.24994659260841701"/>
        </patternFill>
      </fill>
    </dxf>
    <dxf>
      <fill>
        <patternFill>
          <bgColor theme="7"/>
        </patternFill>
      </fill>
    </dxf>
    <dxf>
      <fill>
        <patternFill>
          <bgColor theme="6"/>
        </patternFill>
      </fill>
    </dxf>
    <dxf>
      <fill>
        <patternFill>
          <bgColor theme="8" tint="-0.24994659260841701"/>
        </patternFill>
      </fill>
    </dxf>
    <dxf>
      <fill>
        <patternFill>
          <bgColor theme="6"/>
        </patternFill>
      </fill>
    </dxf>
    <dxf>
      <fill>
        <patternFill>
          <bgColor theme="9" tint="0.39994506668294322"/>
        </patternFill>
      </fill>
    </dxf>
    <dxf>
      <fill>
        <patternFill>
          <bgColor theme="9" tint="-0.24994659260841701"/>
        </patternFill>
      </fill>
    </dxf>
    <dxf>
      <fill>
        <patternFill>
          <bgColor theme="8" tint="-0.24994659260841701"/>
        </patternFill>
      </fill>
    </dxf>
    <dxf>
      <fill>
        <patternFill>
          <bgColor theme="7"/>
        </patternFill>
      </fill>
    </dxf>
    <dxf>
      <fill>
        <patternFill>
          <bgColor theme="7"/>
        </patternFill>
      </fill>
    </dxf>
    <dxf>
      <fill>
        <patternFill>
          <bgColor theme="6"/>
        </patternFill>
      </fill>
    </dxf>
    <dxf>
      <fill>
        <patternFill>
          <bgColor theme="9" tint="0.39994506668294322"/>
        </patternFill>
      </fill>
    </dxf>
    <dxf>
      <fill>
        <patternFill>
          <bgColor theme="8" tint="-0.24994659260841701"/>
        </patternFill>
      </fill>
    </dxf>
    <dxf>
      <fill>
        <patternFill>
          <bgColor theme="9" tint="-0.24994659260841701"/>
        </patternFill>
      </fill>
    </dxf>
    <dxf>
      <fill>
        <patternFill>
          <bgColor theme="6"/>
        </patternFill>
      </fill>
    </dxf>
    <dxf>
      <fill>
        <patternFill>
          <bgColor theme="9" tint="0.39994506668294322"/>
        </patternFill>
      </fill>
    </dxf>
    <dxf>
      <fill>
        <patternFill>
          <bgColor theme="7"/>
        </patternFill>
      </fill>
    </dxf>
    <dxf>
      <fill>
        <patternFill>
          <bgColor theme="9" tint="-0.24994659260841701"/>
        </patternFill>
      </fill>
    </dxf>
    <dxf>
      <fill>
        <patternFill>
          <bgColor theme="9" tint="0.39994506668294322"/>
        </patternFill>
      </fill>
    </dxf>
    <dxf>
      <fill>
        <patternFill>
          <bgColor theme="7"/>
        </patternFill>
      </fill>
    </dxf>
    <dxf>
      <fill>
        <patternFill>
          <bgColor theme="6"/>
        </patternFill>
      </fill>
    </dxf>
    <dxf>
      <fill>
        <patternFill>
          <bgColor theme="9" tint="-0.24994659260841701"/>
        </patternFill>
      </fill>
    </dxf>
    <dxf>
      <fill>
        <patternFill>
          <bgColor theme="9" tint="0.39994506668294322"/>
        </patternFill>
      </fill>
    </dxf>
    <dxf>
      <fill>
        <patternFill>
          <bgColor theme="9" tint="0.39994506668294322"/>
        </patternFill>
      </fill>
    </dxf>
    <dxf>
      <fill>
        <patternFill>
          <bgColor theme="7"/>
        </patternFill>
      </fill>
    </dxf>
    <dxf>
      <fill>
        <patternFill>
          <bgColor theme="6"/>
        </patternFill>
      </fill>
    </dxf>
    <dxf>
      <fill>
        <patternFill>
          <bgColor theme="7"/>
        </patternFill>
      </fill>
    </dxf>
    <dxf>
      <fill>
        <patternFill>
          <bgColor theme="6"/>
        </patternFill>
      </fill>
    </dxf>
    <dxf>
      <fill>
        <patternFill>
          <bgColor theme="9" tint="0.39994506668294322"/>
        </patternFill>
      </fill>
    </dxf>
    <dxf>
      <fill>
        <patternFill>
          <bgColor theme="7"/>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7"/>
        </patternFill>
      </fill>
    </dxf>
    <dxf>
      <fill>
        <patternFill>
          <bgColor theme="9" tint="0.39994506668294322"/>
        </patternFill>
      </fill>
    </dxf>
    <dxf>
      <fill>
        <patternFill>
          <bgColor theme="6"/>
        </patternFill>
      </fill>
    </dxf>
    <dxf>
      <fill>
        <patternFill>
          <bgColor theme="6"/>
        </patternFill>
      </fill>
    </dxf>
    <dxf>
      <fill>
        <patternFill>
          <bgColor theme="7"/>
        </patternFill>
      </fill>
    </dxf>
    <dxf>
      <fill>
        <patternFill>
          <bgColor theme="9" tint="-0.24994659260841701"/>
        </patternFill>
      </fill>
    </dxf>
    <dxf>
      <fill>
        <patternFill>
          <bgColor theme="7"/>
        </patternFill>
      </fill>
    </dxf>
    <dxf>
      <fill>
        <patternFill>
          <bgColor theme="9" tint="0.39994506668294322"/>
        </patternFill>
      </fill>
    </dxf>
    <dxf>
      <fill>
        <patternFill>
          <bgColor theme="6"/>
        </patternFill>
      </fill>
    </dxf>
    <dxf>
      <fill>
        <patternFill>
          <bgColor theme="9" tint="-0.24994659260841701"/>
        </patternFill>
      </fill>
    </dxf>
    <dxf>
      <fill>
        <patternFill>
          <bgColor theme="7"/>
        </patternFill>
      </fill>
    </dxf>
    <dxf>
      <fill>
        <patternFill>
          <bgColor theme="9" tint="0.39994506668294322"/>
        </patternFill>
      </fill>
    </dxf>
    <dxf>
      <fill>
        <patternFill>
          <bgColor theme="9" tint="0.39994506668294322"/>
        </patternFill>
      </fill>
    </dxf>
    <dxf>
      <fill>
        <patternFill>
          <bgColor theme="7"/>
        </patternFill>
      </fill>
    </dxf>
    <dxf>
      <fill>
        <patternFill>
          <bgColor theme="6"/>
        </patternFill>
      </fill>
    </dxf>
    <dxf>
      <fill>
        <patternFill>
          <bgColor theme="6"/>
        </patternFill>
      </fill>
    </dxf>
    <dxf>
      <fill>
        <patternFill>
          <bgColor theme="7"/>
        </patternFill>
      </fill>
    </dxf>
    <dxf>
      <fill>
        <patternFill>
          <bgColor theme="9" tint="-0.24994659260841701"/>
        </patternFill>
      </fill>
    </dxf>
    <dxf>
      <fill>
        <patternFill>
          <bgColor theme="9" tint="0.39994506668294322"/>
        </patternFill>
      </fill>
    </dxf>
    <dxf>
      <fill>
        <patternFill>
          <bgColor theme="6"/>
        </patternFill>
      </fill>
    </dxf>
    <dxf>
      <fill>
        <patternFill>
          <bgColor theme="7"/>
        </patternFill>
      </fill>
    </dxf>
    <dxf>
      <fill>
        <patternFill>
          <bgColor theme="9" tint="0.39994506668294322"/>
        </patternFill>
      </fill>
    </dxf>
    <dxf>
      <fill>
        <patternFill>
          <bgColor theme="9" tint="-0.24994659260841701"/>
        </patternFill>
      </fill>
    </dxf>
    <dxf>
      <fill>
        <patternFill>
          <bgColor theme="9" tint="0.39994506668294322"/>
        </patternFill>
      </fill>
    </dxf>
    <dxf>
      <fill>
        <patternFill>
          <bgColor theme="6"/>
        </patternFill>
      </fill>
    </dxf>
    <dxf>
      <fill>
        <patternFill>
          <bgColor theme="7"/>
        </patternFill>
      </fill>
    </dxf>
    <dxf>
      <fill>
        <patternFill>
          <bgColor theme="9" tint="-0.24994659260841701"/>
        </patternFill>
      </fill>
    </dxf>
    <dxf>
      <fill>
        <patternFill>
          <bgColor theme="6"/>
        </patternFill>
      </fill>
    </dxf>
    <dxf>
      <fill>
        <patternFill>
          <bgColor theme="9" tint="0.39994506668294322"/>
        </patternFill>
      </fill>
    </dxf>
    <dxf>
      <fill>
        <patternFill>
          <bgColor theme="9" tint="0.39994506668294322"/>
        </patternFill>
      </fill>
    </dxf>
    <dxf>
      <fill>
        <patternFill>
          <bgColor theme="7"/>
        </patternFill>
      </fill>
    </dxf>
    <dxf>
      <fill>
        <patternFill>
          <bgColor theme="5"/>
        </patternFill>
      </fill>
    </dxf>
    <dxf>
      <fill>
        <patternFill>
          <bgColor theme="9" tint="0.39994506668294322"/>
        </patternFill>
      </fill>
    </dxf>
    <dxf>
      <fill>
        <patternFill>
          <bgColor theme="7"/>
        </patternFill>
      </fill>
    </dxf>
    <dxf>
      <fill>
        <patternFill>
          <bgColor theme="9" tint="-0.24994659260841701"/>
        </patternFill>
      </fill>
    </dxf>
    <dxf>
      <fill>
        <patternFill>
          <bgColor theme="5"/>
        </patternFill>
      </fill>
    </dxf>
    <dxf>
      <fill>
        <patternFill>
          <bgColor theme="9" tint="0.39994506668294322"/>
        </patternFill>
      </fill>
    </dxf>
    <dxf>
      <fill>
        <patternFill>
          <bgColor theme="6"/>
        </patternFill>
      </fill>
    </dxf>
    <dxf>
      <fill>
        <patternFill>
          <bgColor theme="7"/>
        </patternFill>
      </fill>
    </dxf>
    <dxf>
      <fill>
        <patternFill>
          <bgColor theme="6"/>
        </patternFill>
      </fill>
    </dxf>
    <dxf>
      <fill>
        <patternFill>
          <bgColor theme="9" tint="-0.24994659260841701"/>
        </patternFill>
      </fill>
    </dxf>
    <dxf>
      <fill>
        <patternFill>
          <bgColor theme="8" tint="-0.24994659260841701"/>
        </patternFill>
      </fill>
    </dxf>
    <dxf>
      <fill>
        <patternFill>
          <bgColor theme="9" tint="0.39994506668294322"/>
        </patternFill>
      </fill>
    </dxf>
    <dxf>
      <fill>
        <patternFill>
          <bgColor theme="6"/>
        </patternFill>
      </fill>
    </dxf>
    <dxf>
      <fill>
        <patternFill>
          <bgColor theme="7"/>
        </patternFill>
      </fill>
    </dxf>
    <dxf>
      <fill>
        <patternFill>
          <bgColor theme="7"/>
        </patternFill>
      </fill>
    </dxf>
    <dxf>
      <fill>
        <patternFill>
          <bgColor theme="6"/>
        </patternFill>
      </fill>
    </dxf>
    <dxf>
      <fill>
        <patternFill>
          <bgColor theme="8" tint="-0.24994659260841701"/>
        </patternFill>
      </fill>
    </dxf>
    <dxf>
      <fill>
        <patternFill>
          <bgColor theme="9" tint="-0.24994659260841701"/>
        </patternFill>
      </fill>
    </dxf>
    <dxf>
      <fill>
        <patternFill>
          <bgColor theme="9" tint="0.39994506668294322"/>
        </patternFill>
      </fill>
    </dxf>
    <dxf>
      <fill>
        <patternFill>
          <bgColor theme="7"/>
        </patternFill>
      </fill>
    </dxf>
    <dxf>
      <fill>
        <patternFill>
          <bgColor theme="6"/>
        </patternFill>
      </fill>
    </dxf>
    <dxf>
      <fill>
        <patternFill>
          <bgColor theme="9" tint="0.39994506668294322"/>
        </patternFill>
      </fill>
    </dxf>
    <dxf>
      <fill>
        <patternFill>
          <bgColor theme="9" tint="-0.24994659260841701"/>
        </patternFill>
      </fill>
    </dxf>
    <dxf>
      <fill>
        <patternFill>
          <bgColor theme="8" tint="-0.24994659260841701"/>
        </patternFill>
      </fill>
    </dxf>
    <dxf>
      <fill>
        <patternFill>
          <bgColor theme="7"/>
        </patternFill>
      </fill>
    </dxf>
    <dxf>
      <fill>
        <patternFill>
          <bgColor theme="8" tint="-0.24994659260841701"/>
        </patternFill>
      </fill>
    </dxf>
    <dxf>
      <fill>
        <patternFill>
          <bgColor theme="9" tint="-0.24994659260841701"/>
        </patternFill>
      </fill>
    </dxf>
    <dxf>
      <fill>
        <patternFill>
          <bgColor theme="9" tint="0.39994506668294322"/>
        </patternFill>
      </fill>
    </dxf>
    <dxf>
      <fill>
        <patternFill>
          <bgColor theme="6"/>
        </patternFill>
      </fill>
    </dxf>
  </dxfs>
  <tableStyles count="0" defaultTableStyle="TableStyleMedium2" defaultPivotStyle="PivotStyleLight16"/>
  <colors>
    <mruColors>
      <color rgb="FFB04545"/>
      <color rgb="FFBFD0EA"/>
      <color rgb="FF3966A8"/>
      <color rgb="FFEFE973"/>
      <color rgb="FFF59E2D"/>
      <color rgb="FF595959"/>
      <color rgb="FF608C95"/>
      <color rgb="FFA2BADF"/>
      <color rgb="FFBADAA5"/>
      <color rgb="FFCEE3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Graphs!$C$54</c:f>
              <c:strCache>
                <c:ptCount val="1"/>
                <c:pt idx="0">
                  <c:v>Electrification (FEC)</c:v>
                </c:pt>
              </c:strCache>
            </c:strRef>
          </c:tx>
          <c:spPr>
            <a:solidFill>
              <a:schemeClr val="accent3"/>
            </a:solidFill>
            <a:ln>
              <a:noFill/>
            </a:ln>
            <a:effectLst/>
          </c:spPr>
          <c:invertIfNegative val="0"/>
          <c:cat>
            <c:multiLvlStrRef>
              <c:f>Graphs!$A$55:$B$63</c:f>
              <c:multiLvlStrCache>
                <c:ptCount val="9"/>
                <c:lvl>
                  <c:pt idx="0">
                    <c:v>NT+ </c:v>
                  </c:pt>
                  <c:pt idx="1">
                    <c:v>Benchmark</c:v>
                  </c:pt>
                  <c:pt idx="2">
                    <c:v>NT+ </c:v>
                  </c:pt>
                  <c:pt idx="3">
                    <c:v>DE</c:v>
                  </c:pt>
                  <c:pt idx="4">
                    <c:v>GA</c:v>
                  </c:pt>
                  <c:pt idx="5">
                    <c:v>Benchmark</c:v>
                  </c:pt>
                  <c:pt idx="6">
                    <c:v>DE</c:v>
                  </c:pt>
                  <c:pt idx="7">
                    <c:v>GA</c:v>
                  </c:pt>
                  <c:pt idx="8">
                    <c:v>Benchmark</c:v>
                  </c:pt>
                </c:lvl>
                <c:lvl>
                  <c:pt idx="0">
                    <c:v>2030</c:v>
                  </c:pt>
                  <c:pt idx="2">
                    <c:v>2040</c:v>
                  </c:pt>
                  <c:pt idx="6">
                    <c:v>2050</c:v>
                  </c:pt>
                </c:lvl>
              </c:multiLvlStrCache>
            </c:multiLvlStrRef>
          </c:cat>
          <c:val>
            <c:numRef>
              <c:f>Graphs!$C$55:$C$63</c:f>
              <c:numCache>
                <c:formatCode>0%</c:formatCode>
                <c:ptCount val="9"/>
                <c:pt idx="0">
                  <c:v>0.33472365614618277</c:v>
                </c:pt>
                <c:pt idx="2">
                  <c:v>0.41789915496765173</c:v>
                </c:pt>
                <c:pt idx="3">
                  <c:v>0.46111717384840278</c:v>
                </c:pt>
                <c:pt idx="4">
                  <c:v>0.37704731463258129</c:v>
                </c:pt>
                <c:pt idx="6">
                  <c:v>0.57676958224446406</c:v>
                </c:pt>
                <c:pt idx="7">
                  <c:v>0.46723438499726511</c:v>
                </c:pt>
              </c:numCache>
            </c:numRef>
          </c:val>
          <c:extLst>
            <c:ext xmlns:c16="http://schemas.microsoft.com/office/drawing/2014/chart" uri="{C3380CC4-5D6E-409C-BE32-E72D297353CC}">
              <c16:uniqueId val="{00000000-13FD-4B9E-9F22-F99166CBE41E}"/>
            </c:ext>
          </c:extLst>
        </c:ser>
        <c:ser>
          <c:idx val="1"/>
          <c:order val="1"/>
          <c:tx>
            <c:strRef>
              <c:f>Graphs!$D$54</c:f>
              <c:strCache>
                <c:ptCount val="1"/>
                <c:pt idx="0">
                  <c:v>Electrification (FED)</c:v>
                </c:pt>
              </c:strCache>
            </c:strRef>
          </c:tx>
          <c:spPr>
            <a:solidFill>
              <a:srgbClr val="608C95"/>
            </a:solidFill>
            <a:ln>
              <a:noFill/>
            </a:ln>
            <a:effectLst/>
          </c:spPr>
          <c:invertIfNegative val="0"/>
          <c:cat>
            <c:multiLvlStrRef>
              <c:f>Graphs!$A$55:$B$63</c:f>
              <c:multiLvlStrCache>
                <c:ptCount val="9"/>
                <c:lvl>
                  <c:pt idx="0">
                    <c:v>NT+ </c:v>
                  </c:pt>
                  <c:pt idx="1">
                    <c:v>Benchmark</c:v>
                  </c:pt>
                  <c:pt idx="2">
                    <c:v>NT+ </c:v>
                  </c:pt>
                  <c:pt idx="3">
                    <c:v>DE</c:v>
                  </c:pt>
                  <c:pt idx="4">
                    <c:v>GA</c:v>
                  </c:pt>
                  <c:pt idx="5">
                    <c:v>Benchmark</c:v>
                  </c:pt>
                  <c:pt idx="6">
                    <c:v>DE</c:v>
                  </c:pt>
                  <c:pt idx="7">
                    <c:v>GA</c:v>
                  </c:pt>
                  <c:pt idx="8">
                    <c:v>Benchmark</c:v>
                  </c:pt>
                </c:lvl>
                <c:lvl>
                  <c:pt idx="0">
                    <c:v>2030</c:v>
                  </c:pt>
                  <c:pt idx="2">
                    <c:v>2040</c:v>
                  </c:pt>
                  <c:pt idx="6">
                    <c:v>2050</c:v>
                  </c:pt>
                </c:lvl>
              </c:multiLvlStrCache>
            </c:multiLvlStrRef>
          </c:cat>
          <c:val>
            <c:numRef>
              <c:f>Graphs!$D$55:$D$63</c:f>
              <c:numCache>
                <c:formatCode>0%</c:formatCode>
                <c:ptCount val="9"/>
                <c:pt idx="0">
                  <c:v>0.28680584914350837</c:v>
                </c:pt>
                <c:pt idx="2">
                  <c:v>0.35635964091198069</c:v>
                </c:pt>
                <c:pt idx="3">
                  <c:v>0.40006763649811655</c:v>
                </c:pt>
                <c:pt idx="4">
                  <c:v>0.3317018245414956</c:v>
                </c:pt>
                <c:pt idx="6">
                  <c:v>0.4879960924245122</c:v>
                </c:pt>
                <c:pt idx="7">
                  <c:v>0.40091668630441346</c:v>
                </c:pt>
              </c:numCache>
            </c:numRef>
          </c:val>
          <c:extLst>
            <c:ext xmlns:c16="http://schemas.microsoft.com/office/drawing/2014/chart" uri="{C3380CC4-5D6E-409C-BE32-E72D297353CC}">
              <c16:uniqueId val="{00000001-13FD-4B9E-9F22-F99166CBE41E}"/>
            </c:ext>
          </c:extLst>
        </c:ser>
        <c:ser>
          <c:idx val="2"/>
          <c:order val="2"/>
          <c:tx>
            <c:strRef>
              <c:f>Graphs!$E$54</c:f>
              <c:strCache>
                <c:ptCount val="1"/>
                <c:pt idx="0">
                  <c:v>EC (FEC)</c:v>
                </c:pt>
              </c:strCache>
            </c:strRef>
          </c:tx>
          <c:spPr>
            <a:pattFill prst="dkUpDiag">
              <a:fgClr>
                <a:schemeClr val="accent3">
                  <a:lumMod val="60000"/>
                  <a:lumOff val="40000"/>
                </a:schemeClr>
              </a:fgClr>
              <a:bgClr>
                <a:schemeClr val="bg1"/>
              </a:bgClr>
            </a:pattFill>
            <a:ln>
              <a:noFill/>
            </a:ln>
            <a:effectLst/>
          </c:spPr>
          <c:invertIfNegative val="0"/>
          <c:cat>
            <c:multiLvlStrRef>
              <c:f>Graphs!$A$55:$B$63</c:f>
              <c:multiLvlStrCache>
                <c:ptCount val="9"/>
                <c:lvl>
                  <c:pt idx="0">
                    <c:v>NT+ </c:v>
                  </c:pt>
                  <c:pt idx="1">
                    <c:v>Benchmark</c:v>
                  </c:pt>
                  <c:pt idx="2">
                    <c:v>NT+ </c:v>
                  </c:pt>
                  <c:pt idx="3">
                    <c:v>DE</c:v>
                  </c:pt>
                  <c:pt idx="4">
                    <c:v>GA</c:v>
                  </c:pt>
                  <c:pt idx="5">
                    <c:v>Benchmark</c:v>
                  </c:pt>
                  <c:pt idx="6">
                    <c:v>DE</c:v>
                  </c:pt>
                  <c:pt idx="7">
                    <c:v>GA</c:v>
                  </c:pt>
                  <c:pt idx="8">
                    <c:v>Benchmark</c:v>
                  </c:pt>
                </c:lvl>
                <c:lvl>
                  <c:pt idx="0">
                    <c:v>2030</c:v>
                  </c:pt>
                  <c:pt idx="2">
                    <c:v>2040</c:v>
                  </c:pt>
                  <c:pt idx="6">
                    <c:v>2050</c:v>
                  </c:pt>
                </c:lvl>
              </c:multiLvlStrCache>
            </c:multiLvlStrRef>
          </c:cat>
          <c:val>
            <c:numRef>
              <c:f>Graphs!$E$55:$E$63</c:f>
              <c:numCache>
                <c:formatCode>0%</c:formatCode>
                <c:ptCount val="9"/>
                <c:pt idx="1">
                  <c:v>0.31459282965235441</c:v>
                </c:pt>
                <c:pt idx="5">
                  <c:v>0.47449740099444448</c:v>
                </c:pt>
                <c:pt idx="8">
                  <c:v>0.57289345932398328</c:v>
                </c:pt>
              </c:numCache>
            </c:numRef>
          </c:val>
          <c:extLst>
            <c:ext xmlns:c16="http://schemas.microsoft.com/office/drawing/2014/chart" uri="{C3380CC4-5D6E-409C-BE32-E72D297353CC}">
              <c16:uniqueId val="{00000002-13FD-4B9E-9F22-F99166CBE41E}"/>
            </c:ext>
          </c:extLst>
        </c:ser>
        <c:ser>
          <c:idx val="3"/>
          <c:order val="3"/>
          <c:tx>
            <c:strRef>
              <c:f>Graphs!$F$54</c:f>
              <c:strCache>
                <c:ptCount val="1"/>
                <c:pt idx="0">
                  <c:v>ESABCC (FED)</c:v>
                </c:pt>
              </c:strCache>
            </c:strRef>
          </c:tx>
          <c:spPr>
            <a:pattFill prst="dkUpDiag">
              <a:fgClr>
                <a:schemeClr val="tx2">
                  <a:lumMod val="40000"/>
                  <a:lumOff val="60000"/>
                </a:schemeClr>
              </a:fgClr>
              <a:bgClr>
                <a:schemeClr val="bg1"/>
              </a:bgClr>
            </a:pattFill>
            <a:ln>
              <a:noFill/>
            </a:ln>
            <a:effectLst/>
          </c:spPr>
          <c:invertIfNegative val="0"/>
          <c:cat>
            <c:multiLvlStrRef>
              <c:f>Graphs!$A$55:$B$63</c:f>
              <c:multiLvlStrCache>
                <c:ptCount val="9"/>
                <c:lvl>
                  <c:pt idx="0">
                    <c:v>NT+ </c:v>
                  </c:pt>
                  <c:pt idx="1">
                    <c:v>Benchmark</c:v>
                  </c:pt>
                  <c:pt idx="2">
                    <c:v>NT+ </c:v>
                  </c:pt>
                  <c:pt idx="3">
                    <c:v>DE</c:v>
                  </c:pt>
                  <c:pt idx="4">
                    <c:v>GA</c:v>
                  </c:pt>
                  <c:pt idx="5">
                    <c:v>Benchmark</c:v>
                  </c:pt>
                  <c:pt idx="6">
                    <c:v>DE</c:v>
                  </c:pt>
                  <c:pt idx="7">
                    <c:v>GA</c:v>
                  </c:pt>
                  <c:pt idx="8">
                    <c:v>Benchmark</c:v>
                  </c:pt>
                </c:lvl>
                <c:lvl>
                  <c:pt idx="0">
                    <c:v>2030</c:v>
                  </c:pt>
                  <c:pt idx="2">
                    <c:v>2040</c:v>
                  </c:pt>
                  <c:pt idx="6">
                    <c:v>2050</c:v>
                  </c:pt>
                </c:lvl>
              </c:multiLvlStrCache>
            </c:multiLvlStrRef>
          </c:cat>
          <c:val>
            <c:numRef>
              <c:f>Graphs!$F$55:$F$63</c:f>
              <c:numCache>
                <c:formatCode>0%</c:formatCode>
                <c:ptCount val="9"/>
                <c:pt idx="1">
                  <c:v>0.29435226385834001</c:v>
                </c:pt>
                <c:pt idx="5">
                  <c:v>0.49613881571887902</c:v>
                </c:pt>
                <c:pt idx="8">
                  <c:v>0.60696145088610398</c:v>
                </c:pt>
              </c:numCache>
            </c:numRef>
          </c:val>
          <c:extLst>
            <c:ext xmlns:c16="http://schemas.microsoft.com/office/drawing/2014/chart" uri="{C3380CC4-5D6E-409C-BE32-E72D297353CC}">
              <c16:uniqueId val="{00000003-13FD-4B9E-9F22-F99166CBE41E}"/>
            </c:ext>
          </c:extLst>
        </c:ser>
        <c:dLbls>
          <c:showLegendKey val="0"/>
          <c:showVal val="0"/>
          <c:showCatName val="0"/>
          <c:showSerName val="0"/>
          <c:showPercent val="0"/>
          <c:showBubbleSize val="0"/>
        </c:dLbls>
        <c:gapWidth val="219"/>
        <c:overlap val="-27"/>
        <c:axId val="936005263"/>
        <c:axId val="936007183"/>
      </c:barChart>
      <c:catAx>
        <c:axId val="936005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crossAx val="936007183"/>
        <c:crosses val="autoZero"/>
        <c:auto val="1"/>
        <c:lblAlgn val="ctr"/>
        <c:lblOffset val="100"/>
        <c:noMultiLvlLbl val="0"/>
      </c:catAx>
      <c:valAx>
        <c:axId val="936007183"/>
        <c:scaling>
          <c:orientation val="minMax"/>
        </c:scaling>
        <c:delete val="0"/>
        <c:axPos val="l"/>
        <c:majorGridlines>
          <c:spPr>
            <a:ln w="22225" cap="rnd" cmpd="sng" algn="ctr">
              <a:solidFill>
                <a:schemeClr val="bg2">
                  <a:lumMod val="90000"/>
                </a:schemeClr>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r>
                  <a:rPr lang="en-IE">
                    <a:latin typeface="Segoe UI Semilight" panose="020B0402040204020203" pitchFamily="34" charset="0"/>
                    <a:cs typeface="Segoe UI Semilight" panose="020B0402040204020203" pitchFamily="34" charset="0"/>
                  </a:rPr>
                  <a:t>Electricity share of final energy</a:t>
                </a:r>
                <a:endParaRPr lang="en-DK">
                  <a:latin typeface="Segoe UI Semilight" panose="020B0402040204020203" pitchFamily="34" charset="0"/>
                  <a:cs typeface="Segoe UI Semilight" panose="020B0402040204020203"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Semibold" panose="020B0702040204020203" pitchFamily="34" charset="0"/>
                <a:ea typeface="+mn-ea"/>
                <a:cs typeface="Segoe UI Semibold" panose="020B0702040204020203" pitchFamily="34" charset="0"/>
              </a:defRPr>
            </a:pPr>
            <a:endParaRPr lang="en-US"/>
          </a:p>
        </c:txPr>
        <c:crossAx val="936005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Graphs!$C$39</c:f>
              <c:strCache>
                <c:ptCount val="1"/>
                <c:pt idx="0">
                  <c:v>Green Hydrogen (P2G)</c:v>
                </c:pt>
              </c:strCache>
            </c:strRef>
          </c:tx>
          <c:spPr>
            <a:solidFill>
              <a:schemeClr val="accent6"/>
            </a:solidFill>
            <a:ln>
              <a:noFill/>
            </a:ln>
            <a:effectLst/>
          </c:spPr>
          <c:invertIfNegative val="0"/>
          <c:cat>
            <c:multiLvlStrRef>
              <c:f>Graphs!$A$40:$B$51</c:f>
              <c:multiLvlStrCache>
                <c:ptCount val="12"/>
                <c:lvl>
                  <c:pt idx="0">
                    <c:v>NT+ </c:v>
                  </c:pt>
                  <c:pt idx="1">
                    <c:v>EC</c:v>
                  </c:pt>
                  <c:pt idx="2">
                    <c:v>ESABCC</c:v>
                  </c:pt>
                  <c:pt idx="3">
                    <c:v>NT+</c:v>
                  </c:pt>
                  <c:pt idx="4">
                    <c:v>DE</c:v>
                  </c:pt>
                  <c:pt idx="5">
                    <c:v>GA</c:v>
                  </c:pt>
                  <c:pt idx="6">
                    <c:v>EC</c:v>
                  </c:pt>
                  <c:pt idx="7">
                    <c:v>ESABCC</c:v>
                  </c:pt>
                  <c:pt idx="8">
                    <c:v>DE</c:v>
                  </c:pt>
                  <c:pt idx="9">
                    <c:v>GA</c:v>
                  </c:pt>
                  <c:pt idx="10">
                    <c:v>EC</c:v>
                  </c:pt>
                  <c:pt idx="11">
                    <c:v>ESABCC</c:v>
                  </c:pt>
                </c:lvl>
                <c:lvl>
                  <c:pt idx="0">
                    <c:v>2030</c:v>
                  </c:pt>
                  <c:pt idx="3">
                    <c:v>2040</c:v>
                  </c:pt>
                  <c:pt idx="8">
                    <c:v>2050</c:v>
                  </c:pt>
                </c:lvl>
              </c:multiLvlStrCache>
            </c:multiLvlStrRef>
          </c:cat>
          <c:val>
            <c:numRef>
              <c:f>Graphs!$C$40:$C$51</c:f>
              <c:numCache>
                <c:formatCode>#,##0</c:formatCode>
                <c:ptCount val="12"/>
                <c:pt idx="0">
                  <c:v>192.85562859166669</c:v>
                </c:pt>
                <c:pt idx="1">
                  <c:v>104.67</c:v>
                </c:pt>
                <c:pt idx="2">
                  <c:v>120.30565180000001</c:v>
                </c:pt>
                <c:pt idx="3">
                  <c:v>709.81421251388235</c:v>
                </c:pt>
                <c:pt idx="4">
                  <c:v>959.00331007524187</c:v>
                </c:pt>
                <c:pt idx="5">
                  <c:v>1163.0827031370343</c:v>
                </c:pt>
                <c:pt idx="6">
                  <c:v>1163</c:v>
                </c:pt>
                <c:pt idx="7">
                  <c:v>425.6670072</c:v>
                </c:pt>
                <c:pt idx="8">
                  <c:v>1795.4778873964967</c:v>
                </c:pt>
                <c:pt idx="9">
                  <c:v>2082.5118539387477</c:v>
                </c:pt>
                <c:pt idx="10">
                  <c:v>2151.5500000000002</c:v>
                </c:pt>
                <c:pt idx="11">
                  <c:v>883.94515160000003</c:v>
                </c:pt>
              </c:numCache>
            </c:numRef>
          </c:val>
          <c:extLst>
            <c:ext xmlns:c16="http://schemas.microsoft.com/office/drawing/2014/chart" uri="{C3380CC4-5D6E-409C-BE32-E72D297353CC}">
              <c16:uniqueId val="{00000000-4EDF-4EC0-8EB0-B59A1B8CBE74}"/>
            </c:ext>
          </c:extLst>
        </c:ser>
        <c:ser>
          <c:idx val="1"/>
          <c:order val="1"/>
          <c:tx>
            <c:strRef>
              <c:f>Graphs!$D$39</c:f>
              <c:strCache>
                <c:ptCount val="1"/>
                <c:pt idx="0">
                  <c:v>Blue (SMR w/ CCS)</c:v>
                </c:pt>
              </c:strCache>
            </c:strRef>
          </c:tx>
          <c:spPr>
            <a:solidFill>
              <a:schemeClr val="accent1">
                <a:lumMod val="75000"/>
              </a:schemeClr>
            </a:solidFill>
            <a:ln>
              <a:noFill/>
            </a:ln>
            <a:effectLst/>
          </c:spPr>
          <c:invertIfNegative val="0"/>
          <c:cat>
            <c:multiLvlStrRef>
              <c:f>Graphs!$A$40:$B$51</c:f>
              <c:multiLvlStrCache>
                <c:ptCount val="12"/>
                <c:lvl>
                  <c:pt idx="0">
                    <c:v>NT+ </c:v>
                  </c:pt>
                  <c:pt idx="1">
                    <c:v>EC</c:v>
                  </c:pt>
                  <c:pt idx="2">
                    <c:v>ESABCC</c:v>
                  </c:pt>
                  <c:pt idx="3">
                    <c:v>NT+</c:v>
                  </c:pt>
                  <c:pt idx="4">
                    <c:v>DE</c:v>
                  </c:pt>
                  <c:pt idx="5">
                    <c:v>GA</c:v>
                  </c:pt>
                  <c:pt idx="6">
                    <c:v>EC</c:v>
                  </c:pt>
                  <c:pt idx="7">
                    <c:v>ESABCC</c:v>
                  </c:pt>
                  <c:pt idx="8">
                    <c:v>DE</c:v>
                  </c:pt>
                  <c:pt idx="9">
                    <c:v>GA</c:v>
                  </c:pt>
                  <c:pt idx="10">
                    <c:v>EC</c:v>
                  </c:pt>
                  <c:pt idx="11">
                    <c:v>ESABCC</c:v>
                  </c:pt>
                </c:lvl>
                <c:lvl>
                  <c:pt idx="0">
                    <c:v>2030</c:v>
                  </c:pt>
                  <c:pt idx="3">
                    <c:v>2040</c:v>
                  </c:pt>
                  <c:pt idx="8">
                    <c:v>2050</c:v>
                  </c:pt>
                </c:lvl>
              </c:multiLvlStrCache>
            </c:multiLvlStrRef>
          </c:cat>
          <c:val>
            <c:numRef>
              <c:f>Graphs!$D$40:$D$51</c:f>
              <c:numCache>
                <c:formatCode>#,##0</c:formatCode>
                <c:ptCount val="12"/>
                <c:pt idx="0">
                  <c:v>104.763792392</c:v>
                </c:pt>
                <c:pt idx="3">
                  <c:v>69.44759640800001</c:v>
                </c:pt>
                <c:pt idx="4">
                  <c:v>84.89642478195519</c:v>
                </c:pt>
                <c:pt idx="5">
                  <c:v>74.936289637708796</c:v>
                </c:pt>
                <c:pt idx="8">
                  <c:v>0</c:v>
                </c:pt>
                <c:pt idx="9">
                  <c:v>4.6927470185433275</c:v>
                </c:pt>
              </c:numCache>
            </c:numRef>
          </c:val>
          <c:extLst>
            <c:ext xmlns:c16="http://schemas.microsoft.com/office/drawing/2014/chart" uri="{C3380CC4-5D6E-409C-BE32-E72D297353CC}">
              <c16:uniqueId val="{00000001-4EDF-4EC0-8EB0-B59A1B8CBE74}"/>
            </c:ext>
          </c:extLst>
        </c:ser>
        <c:ser>
          <c:idx val="2"/>
          <c:order val="2"/>
          <c:tx>
            <c:strRef>
              <c:f>Graphs!$E$39</c:f>
              <c:strCache>
                <c:ptCount val="1"/>
                <c:pt idx="0">
                  <c:v>Grey (SMR)</c:v>
                </c:pt>
              </c:strCache>
            </c:strRef>
          </c:tx>
          <c:spPr>
            <a:solidFill>
              <a:schemeClr val="bg2">
                <a:lumMod val="90000"/>
              </a:schemeClr>
            </a:solidFill>
            <a:ln>
              <a:noFill/>
            </a:ln>
            <a:effectLst/>
          </c:spPr>
          <c:invertIfNegative val="0"/>
          <c:cat>
            <c:multiLvlStrRef>
              <c:f>Graphs!$A$40:$B$51</c:f>
              <c:multiLvlStrCache>
                <c:ptCount val="12"/>
                <c:lvl>
                  <c:pt idx="0">
                    <c:v>NT+ </c:v>
                  </c:pt>
                  <c:pt idx="1">
                    <c:v>EC</c:v>
                  </c:pt>
                  <c:pt idx="2">
                    <c:v>ESABCC</c:v>
                  </c:pt>
                  <c:pt idx="3">
                    <c:v>NT+</c:v>
                  </c:pt>
                  <c:pt idx="4">
                    <c:v>DE</c:v>
                  </c:pt>
                  <c:pt idx="5">
                    <c:v>GA</c:v>
                  </c:pt>
                  <c:pt idx="6">
                    <c:v>EC</c:v>
                  </c:pt>
                  <c:pt idx="7">
                    <c:v>ESABCC</c:v>
                  </c:pt>
                  <c:pt idx="8">
                    <c:v>DE</c:v>
                  </c:pt>
                  <c:pt idx="9">
                    <c:v>GA</c:v>
                  </c:pt>
                  <c:pt idx="10">
                    <c:v>EC</c:v>
                  </c:pt>
                  <c:pt idx="11">
                    <c:v>ESABCC</c:v>
                  </c:pt>
                </c:lvl>
                <c:lvl>
                  <c:pt idx="0">
                    <c:v>2030</c:v>
                  </c:pt>
                  <c:pt idx="3">
                    <c:v>2040</c:v>
                  </c:pt>
                  <c:pt idx="8">
                    <c:v>2050</c:v>
                  </c:pt>
                </c:lvl>
              </c:multiLvlStrCache>
            </c:multiLvlStrRef>
          </c:cat>
          <c:val>
            <c:numRef>
              <c:f>Graphs!$E$40:$E$51</c:f>
              <c:numCache>
                <c:formatCode>#,##0</c:formatCode>
                <c:ptCount val="12"/>
                <c:pt idx="0">
                  <c:v>9.1072976519999997</c:v>
                </c:pt>
                <c:pt idx="3">
                  <c:v>24.464786927000002</c:v>
                </c:pt>
                <c:pt idx="4">
                  <c:v>22.299415236945002</c:v>
                </c:pt>
                <c:pt idx="5">
                  <c:v>14.535863122448001</c:v>
                </c:pt>
              </c:numCache>
            </c:numRef>
          </c:val>
          <c:extLst>
            <c:ext xmlns:c16="http://schemas.microsoft.com/office/drawing/2014/chart" uri="{C3380CC4-5D6E-409C-BE32-E72D297353CC}">
              <c16:uniqueId val="{00000002-4EDF-4EC0-8EB0-B59A1B8CBE74}"/>
            </c:ext>
          </c:extLst>
        </c:ser>
        <c:ser>
          <c:idx val="3"/>
          <c:order val="3"/>
          <c:tx>
            <c:strRef>
              <c:f>Graphs!$F$39</c:f>
              <c:strCache>
                <c:ptCount val="1"/>
                <c:pt idx="0">
                  <c:v>Imports</c:v>
                </c:pt>
              </c:strCache>
            </c:strRef>
          </c:tx>
          <c:spPr>
            <a:solidFill>
              <a:schemeClr val="accent3"/>
            </a:solidFill>
            <a:ln>
              <a:noFill/>
            </a:ln>
            <a:effectLst/>
          </c:spPr>
          <c:invertIfNegative val="0"/>
          <c:cat>
            <c:multiLvlStrRef>
              <c:f>Graphs!$A$40:$B$51</c:f>
              <c:multiLvlStrCache>
                <c:ptCount val="12"/>
                <c:lvl>
                  <c:pt idx="0">
                    <c:v>NT+ </c:v>
                  </c:pt>
                  <c:pt idx="1">
                    <c:v>EC</c:v>
                  </c:pt>
                  <c:pt idx="2">
                    <c:v>ESABCC</c:v>
                  </c:pt>
                  <c:pt idx="3">
                    <c:v>NT+</c:v>
                  </c:pt>
                  <c:pt idx="4">
                    <c:v>DE</c:v>
                  </c:pt>
                  <c:pt idx="5">
                    <c:v>GA</c:v>
                  </c:pt>
                  <c:pt idx="6">
                    <c:v>EC</c:v>
                  </c:pt>
                  <c:pt idx="7">
                    <c:v>ESABCC</c:v>
                  </c:pt>
                  <c:pt idx="8">
                    <c:v>DE</c:v>
                  </c:pt>
                  <c:pt idx="9">
                    <c:v>GA</c:v>
                  </c:pt>
                  <c:pt idx="10">
                    <c:v>EC</c:v>
                  </c:pt>
                  <c:pt idx="11">
                    <c:v>ESABCC</c:v>
                  </c:pt>
                </c:lvl>
                <c:lvl>
                  <c:pt idx="0">
                    <c:v>2030</c:v>
                  </c:pt>
                  <c:pt idx="3">
                    <c:v>2040</c:v>
                  </c:pt>
                  <c:pt idx="8">
                    <c:v>2050</c:v>
                  </c:pt>
                </c:lvl>
              </c:multiLvlStrCache>
            </c:multiLvlStrRef>
          </c:cat>
          <c:val>
            <c:numRef>
              <c:f>Graphs!$F$40:$F$51</c:f>
              <c:numCache>
                <c:formatCode>#,##0</c:formatCode>
                <c:ptCount val="12"/>
                <c:pt idx="0">
                  <c:v>167.20699999999999</c:v>
                </c:pt>
                <c:pt idx="3">
                  <c:v>710.46500000000003</c:v>
                </c:pt>
                <c:pt idx="4">
                  <c:v>657.92068183879007</c:v>
                </c:pt>
                <c:pt idx="5">
                  <c:v>823.47990611580008</c:v>
                </c:pt>
                <c:pt idx="6">
                  <c:v>15.022867174032923</c:v>
                </c:pt>
                <c:pt idx="8">
                  <c:v>564.10321668732001</c:v>
                </c:pt>
                <c:pt idx="9">
                  <c:v>981.40211769680002</c:v>
                </c:pt>
                <c:pt idx="10">
                  <c:v>41.52897592062596</c:v>
                </c:pt>
              </c:numCache>
            </c:numRef>
          </c:val>
          <c:extLst>
            <c:ext xmlns:c16="http://schemas.microsoft.com/office/drawing/2014/chart" uri="{C3380CC4-5D6E-409C-BE32-E72D297353CC}">
              <c16:uniqueId val="{00000003-4EDF-4EC0-8EB0-B59A1B8CBE74}"/>
            </c:ext>
          </c:extLst>
        </c:ser>
        <c:ser>
          <c:idx val="4"/>
          <c:order val="4"/>
          <c:tx>
            <c:strRef>
              <c:f>Graphs!$G$39</c:f>
              <c:strCache>
                <c:ptCount val="1"/>
                <c:pt idx="0">
                  <c:v>Other</c:v>
                </c:pt>
              </c:strCache>
            </c:strRef>
          </c:tx>
          <c:spPr>
            <a:solidFill>
              <a:schemeClr val="accent4"/>
            </a:solidFill>
            <a:ln>
              <a:noFill/>
            </a:ln>
            <a:effectLst/>
          </c:spPr>
          <c:invertIfNegative val="0"/>
          <c:cat>
            <c:multiLvlStrRef>
              <c:f>Graphs!$A$40:$B$51</c:f>
              <c:multiLvlStrCache>
                <c:ptCount val="12"/>
                <c:lvl>
                  <c:pt idx="0">
                    <c:v>NT+ </c:v>
                  </c:pt>
                  <c:pt idx="1">
                    <c:v>EC</c:v>
                  </c:pt>
                  <c:pt idx="2">
                    <c:v>ESABCC</c:v>
                  </c:pt>
                  <c:pt idx="3">
                    <c:v>NT+</c:v>
                  </c:pt>
                  <c:pt idx="4">
                    <c:v>DE</c:v>
                  </c:pt>
                  <c:pt idx="5">
                    <c:v>GA</c:v>
                  </c:pt>
                  <c:pt idx="6">
                    <c:v>EC</c:v>
                  </c:pt>
                  <c:pt idx="7">
                    <c:v>ESABCC</c:v>
                  </c:pt>
                  <c:pt idx="8">
                    <c:v>DE</c:v>
                  </c:pt>
                  <c:pt idx="9">
                    <c:v>GA</c:v>
                  </c:pt>
                  <c:pt idx="10">
                    <c:v>EC</c:v>
                  </c:pt>
                  <c:pt idx="11">
                    <c:v>ESABCC</c:v>
                  </c:pt>
                </c:lvl>
                <c:lvl>
                  <c:pt idx="0">
                    <c:v>2030</c:v>
                  </c:pt>
                  <c:pt idx="3">
                    <c:v>2040</c:v>
                  </c:pt>
                  <c:pt idx="8">
                    <c:v>2050</c:v>
                  </c:pt>
                </c:lvl>
              </c:multiLvlStrCache>
            </c:multiLvlStrRef>
          </c:cat>
          <c:val>
            <c:numRef>
              <c:f>Graphs!$G$40:$G$51</c:f>
              <c:numCache>
                <c:formatCode>#,##0</c:formatCode>
                <c:ptCount val="12"/>
                <c:pt idx="0">
                  <c:v>9.6510638782389719</c:v>
                </c:pt>
                <c:pt idx="2">
                  <c:v>75.916727400000028</c:v>
                </c:pt>
                <c:pt idx="7">
                  <c:v>191.66681999999997</c:v>
                </c:pt>
                <c:pt idx="11">
                  <c:v>381.02808259999995</c:v>
                </c:pt>
              </c:numCache>
            </c:numRef>
          </c:val>
          <c:extLst>
            <c:ext xmlns:c16="http://schemas.microsoft.com/office/drawing/2014/chart" uri="{C3380CC4-5D6E-409C-BE32-E72D297353CC}">
              <c16:uniqueId val="{00000004-4EDF-4EC0-8EB0-B59A1B8CBE74}"/>
            </c:ext>
          </c:extLst>
        </c:ser>
        <c:dLbls>
          <c:showLegendKey val="0"/>
          <c:showVal val="0"/>
          <c:showCatName val="0"/>
          <c:showSerName val="0"/>
          <c:showPercent val="0"/>
          <c:showBubbleSize val="0"/>
        </c:dLbls>
        <c:gapWidth val="150"/>
        <c:overlap val="100"/>
        <c:axId val="1394916399"/>
        <c:axId val="1028946895"/>
      </c:barChart>
      <c:catAx>
        <c:axId val="1394916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Segoe UI Semilight" panose="020B0402040204020203" pitchFamily="34" charset="0"/>
              </a:defRPr>
            </a:pPr>
            <a:endParaRPr lang="en-US"/>
          </a:p>
        </c:txPr>
        <c:crossAx val="1028946895"/>
        <c:crosses val="autoZero"/>
        <c:auto val="1"/>
        <c:lblAlgn val="ctr"/>
        <c:lblOffset val="100"/>
        <c:noMultiLvlLbl val="0"/>
      </c:catAx>
      <c:valAx>
        <c:axId val="1028946895"/>
        <c:scaling>
          <c:orientation val="minMax"/>
        </c:scaling>
        <c:delete val="0"/>
        <c:axPos val="l"/>
        <c:majorGridlines>
          <c:spPr>
            <a:ln w="22225" cap="rnd" cmpd="sng" algn="ctr">
              <a:solidFill>
                <a:schemeClr val="bg2">
                  <a:lumMod val="90000"/>
                </a:schemeClr>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Hydrogen Supply (TWh)</a:t>
                </a:r>
                <a:endParaRPr lang="en-DK"/>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Semibold" panose="020B0702040204020203" pitchFamily="34" charset="0"/>
                <a:ea typeface="+mn-ea"/>
                <a:cs typeface="Segoe UI Semibold" panose="020B0702040204020203" pitchFamily="34" charset="0"/>
              </a:defRPr>
            </a:pPr>
            <a:endParaRPr lang="en-US"/>
          </a:p>
        </c:txPr>
        <c:crossAx val="1394916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Graphs!$C$14</c:f>
              <c:strCache>
                <c:ptCount val="1"/>
                <c:pt idx="0">
                  <c:v>Coal, oil + other fossil</c:v>
                </c:pt>
              </c:strCache>
            </c:strRef>
          </c:tx>
          <c:spPr>
            <a:solidFill>
              <a:schemeClr val="bg2">
                <a:lumMod val="25000"/>
              </a:schemeClr>
            </a:solidFill>
            <a:ln>
              <a:noFill/>
            </a:ln>
            <a:effectLst/>
          </c:spPr>
          <c:invertIfNegative val="0"/>
          <c:cat>
            <c:multiLvlStrRef>
              <c:f>Graphs!$A$15:$B$23</c:f>
              <c:multiLvlStrCache>
                <c:ptCount val="9"/>
                <c:lvl>
                  <c:pt idx="0">
                    <c:v>NT+ </c:v>
                  </c:pt>
                  <c:pt idx="1">
                    <c:v>EC</c:v>
                  </c:pt>
                  <c:pt idx="2">
                    <c:v>NT+ </c:v>
                  </c:pt>
                  <c:pt idx="3">
                    <c:v>DE</c:v>
                  </c:pt>
                  <c:pt idx="4">
                    <c:v>GA</c:v>
                  </c:pt>
                  <c:pt idx="5">
                    <c:v>EC</c:v>
                  </c:pt>
                  <c:pt idx="6">
                    <c:v>DE</c:v>
                  </c:pt>
                  <c:pt idx="7">
                    <c:v>GA</c:v>
                  </c:pt>
                  <c:pt idx="8">
                    <c:v>EC</c:v>
                  </c:pt>
                </c:lvl>
                <c:lvl>
                  <c:pt idx="0">
                    <c:v>2030</c:v>
                  </c:pt>
                  <c:pt idx="2">
                    <c:v>2040</c:v>
                  </c:pt>
                  <c:pt idx="6">
                    <c:v>2050</c:v>
                  </c:pt>
                </c:lvl>
              </c:multiLvlStrCache>
            </c:multiLvlStrRef>
          </c:cat>
          <c:val>
            <c:numRef>
              <c:f>Graphs!$C$15:$C$23</c:f>
              <c:numCache>
                <c:formatCode>0</c:formatCode>
                <c:ptCount val="9"/>
                <c:pt idx="0">
                  <c:v>0</c:v>
                </c:pt>
                <c:pt idx="2">
                  <c:v>0</c:v>
                </c:pt>
                <c:pt idx="3">
                  <c:v>0</c:v>
                </c:pt>
                <c:pt idx="4">
                  <c:v>0</c:v>
                </c:pt>
                <c:pt idx="6">
                  <c:v>0</c:v>
                </c:pt>
                <c:pt idx="7">
                  <c:v>0</c:v>
                </c:pt>
              </c:numCache>
            </c:numRef>
          </c:val>
          <c:extLst>
            <c:ext xmlns:c16="http://schemas.microsoft.com/office/drawing/2014/chart" uri="{C3380CC4-5D6E-409C-BE32-E72D297353CC}">
              <c16:uniqueId val="{00000000-2A81-483E-85E2-2235D5199CE9}"/>
            </c:ext>
          </c:extLst>
        </c:ser>
        <c:ser>
          <c:idx val="4"/>
          <c:order val="1"/>
          <c:tx>
            <c:strRef>
              <c:f>Graphs!$G$14</c:f>
              <c:strCache>
                <c:ptCount val="1"/>
                <c:pt idx="0">
                  <c:v>CHP and Small Thermal</c:v>
                </c:pt>
              </c:strCache>
            </c:strRef>
          </c:tx>
          <c:spPr>
            <a:solidFill>
              <a:schemeClr val="accent4"/>
            </a:solidFill>
            <a:ln>
              <a:noFill/>
            </a:ln>
            <a:effectLst/>
          </c:spPr>
          <c:invertIfNegative val="0"/>
          <c:cat>
            <c:multiLvlStrRef>
              <c:f>Graphs!$A$15:$B$23</c:f>
              <c:multiLvlStrCache>
                <c:ptCount val="9"/>
                <c:lvl>
                  <c:pt idx="0">
                    <c:v>NT+ </c:v>
                  </c:pt>
                  <c:pt idx="1">
                    <c:v>EC</c:v>
                  </c:pt>
                  <c:pt idx="2">
                    <c:v>NT+ </c:v>
                  </c:pt>
                  <c:pt idx="3">
                    <c:v>DE</c:v>
                  </c:pt>
                  <c:pt idx="4">
                    <c:v>GA</c:v>
                  </c:pt>
                  <c:pt idx="5">
                    <c:v>EC</c:v>
                  </c:pt>
                  <c:pt idx="6">
                    <c:v>DE</c:v>
                  </c:pt>
                  <c:pt idx="7">
                    <c:v>GA</c:v>
                  </c:pt>
                  <c:pt idx="8">
                    <c:v>EC</c:v>
                  </c:pt>
                </c:lvl>
                <c:lvl>
                  <c:pt idx="0">
                    <c:v>2030</c:v>
                  </c:pt>
                  <c:pt idx="2">
                    <c:v>2040</c:v>
                  </c:pt>
                  <c:pt idx="6">
                    <c:v>2050</c:v>
                  </c:pt>
                </c:lvl>
              </c:multiLvlStrCache>
            </c:multiLvlStrRef>
          </c:cat>
          <c:val>
            <c:numRef>
              <c:f>Graphs!$G$15:$G$23</c:f>
              <c:numCache>
                <c:formatCode>0</c:formatCode>
                <c:ptCount val="9"/>
                <c:pt idx="0">
                  <c:v>38</c:v>
                </c:pt>
                <c:pt idx="2">
                  <c:v>24</c:v>
                </c:pt>
                <c:pt idx="3">
                  <c:v>24</c:v>
                </c:pt>
                <c:pt idx="4">
                  <c:v>24</c:v>
                </c:pt>
                <c:pt idx="6">
                  <c:v>18</c:v>
                </c:pt>
                <c:pt idx="7">
                  <c:v>18</c:v>
                </c:pt>
              </c:numCache>
            </c:numRef>
          </c:val>
          <c:extLst>
            <c:ext xmlns:c16="http://schemas.microsoft.com/office/drawing/2014/chart" uri="{C3380CC4-5D6E-409C-BE32-E72D297353CC}">
              <c16:uniqueId val="{00000004-2A81-483E-85E2-2235D5199CE9}"/>
            </c:ext>
          </c:extLst>
        </c:ser>
        <c:ser>
          <c:idx val="3"/>
          <c:order val="2"/>
          <c:tx>
            <c:strRef>
              <c:f>Graphs!$F$14</c:f>
              <c:strCache>
                <c:ptCount val="1"/>
                <c:pt idx="0">
                  <c:v>Methane &amp; Hydrogen (non-renewable)</c:v>
                </c:pt>
              </c:strCache>
            </c:strRef>
          </c:tx>
          <c:spPr>
            <a:solidFill>
              <a:schemeClr val="accent2"/>
            </a:solidFill>
            <a:ln>
              <a:noFill/>
            </a:ln>
            <a:effectLst/>
          </c:spPr>
          <c:invertIfNegative val="0"/>
          <c:cat>
            <c:multiLvlStrRef>
              <c:f>Graphs!$A$15:$B$23</c:f>
              <c:multiLvlStrCache>
                <c:ptCount val="9"/>
                <c:lvl>
                  <c:pt idx="0">
                    <c:v>NT+ </c:v>
                  </c:pt>
                  <c:pt idx="1">
                    <c:v>EC</c:v>
                  </c:pt>
                  <c:pt idx="2">
                    <c:v>NT+ </c:v>
                  </c:pt>
                  <c:pt idx="3">
                    <c:v>DE</c:v>
                  </c:pt>
                  <c:pt idx="4">
                    <c:v>GA</c:v>
                  </c:pt>
                  <c:pt idx="5">
                    <c:v>EC</c:v>
                  </c:pt>
                  <c:pt idx="6">
                    <c:v>DE</c:v>
                  </c:pt>
                  <c:pt idx="7">
                    <c:v>GA</c:v>
                  </c:pt>
                  <c:pt idx="8">
                    <c:v>EC</c:v>
                  </c:pt>
                </c:lvl>
                <c:lvl>
                  <c:pt idx="0">
                    <c:v>2030</c:v>
                  </c:pt>
                  <c:pt idx="2">
                    <c:v>2040</c:v>
                  </c:pt>
                  <c:pt idx="6">
                    <c:v>2050</c:v>
                  </c:pt>
                </c:lvl>
              </c:multiLvlStrCache>
            </c:multiLvlStrRef>
          </c:cat>
          <c:val>
            <c:numRef>
              <c:f>Graphs!$F$15:$F$23</c:f>
              <c:numCache>
                <c:formatCode>0</c:formatCode>
                <c:ptCount val="9"/>
                <c:pt idx="0">
                  <c:v>154.79371466276871</c:v>
                </c:pt>
                <c:pt idx="2">
                  <c:v>95.868959398886872</c:v>
                </c:pt>
                <c:pt idx="3">
                  <c:v>90.637854075999144</c:v>
                </c:pt>
                <c:pt idx="4">
                  <c:v>86.996579406760674</c:v>
                </c:pt>
                <c:pt idx="6">
                  <c:v>3.1541053584619831</c:v>
                </c:pt>
                <c:pt idx="7">
                  <c:v>4.2882296551700207</c:v>
                </c:pt>
              </c:numCache>
            </c:numRef>
          </c:val>
          <c:extLst>
            <c:ext xmlns:c16="http://schemas.microsoft.com/office/drawing/2014/chart" uri="{C3380CC4-5D6E-409C-BE32-E72D297353CC}">
              <c16:uniqueId val="{00000003-2A81-483E-85E2-2235D5199CE9}"/>
            </c:ext>
          </c:extLst>
        </c:ser>
        <c:ser>
          <c:idx val="2"/>
          <c:order val="3"/>
          <c:tx>
            <c:strRef>
              <c:f>Graphs!$E$14</c:f>
              <c:strCache>
                <c:ptCount val="1"/>
                <c:pt idx="0">
                  <c:v>Methane &amp; Hydrogen (Renewable)</c:v>
                </c:pt>
              </c:strCache>
            </c:strRef>
          </c:tx>
          <c:spPr>
            <a:pattFill prst="dkUpDiag">
              <a:fgClr>
                <a:schemeClr val="accent2"/>
              </a:fgClr>
              <a:bgClr>
                <a:schemeClr val="bg1"/>
              </a:bgClr>
            </a:pattFill>
            <a:ln>
              <a:noFill/>
            </a:ln>
            <a:effectLst/>
          </c:spPr>
          <c:invertIfNegative val="0"/>
          <c:cat>
            <c:multiLvlStrRef>
              <c:f>Graphs!$A$15:$B$23</c:f>
              <c:multiLvlStrCache>
                <c:ptCount val="9"/>
                <c:lvl>
                  <c:pt idx="0">
                    <c:v>NT+ </c:v>
                  </c:pt>
                  <c:pt idx="1">
                    <c:v>EC</c:v>
                  </c:pt>
                  <c:pt idx="2">
                    <c:v>NT+ </c:v>
                  </c:pt>
                  <c:pt idx="3">
                    <c:v>DE</c:v>
                  </c:pt>
                  <c:pt idx="4">
                    <c:v>GA</c:v>
                  </c:pt>
                  <c:pt idx="5">
                    <c:v>EC</c:v>
                  </c:pt>
                  <c:pt idx="6">
                    <c:v>DE</c:v>
                  </c:pt>
                  <c:pt idx="7">
                    <c:v>GA</c:v>
                  </c:pt>
                  <c:pt idx="8">
                    <c:v>EC</c:v>
                  </c:pt>
                </c:lvl>
                <c:lvl>
                  <c:pt idx="0">
                    <c:v>2030</c:v>
                  </c:pt>
                  <c:pt idx="2">
                    <c:v>2040</c:v>
                  </c:pt>
                  <c:pt idx="6">
                    <c:v>2050</c:v>
                  </c:pt>
                </c:lvl>
              </c:multiLvlStrCache>
            </c:multiLvlStrRef>
          </c:cat>
          <c:val>
            <c:numRef>
              <c:f>Graphs!$E$15:$E$23</c:f>
              <c:numCache>
                <c:formatCode>0</c:formatCode>
                <c:ptCount val="9"/>
                <c:pt idx="0">
                  <c:v>27.2062853372313</c:v>
                </c:pt>
                <c:pt idx="2">
                  <c:v>88.131040601113128</c:v>
                </c:pt>
                <c:pt idx="3">
                  <c:v>89.362145924000856</c:v>
                </c:pt>
                <c:pt idx="4">
                  <c:v>93.003420593239326</c:v>
                </c:pt>
                <c:pt idx="6">
                  <c:v>169.79346279155209</c:v>
                </c:pt>
                <c:pt idx="7">
                  <c:v>168.72467542739074</c:v>
                </c:pt>
              </c:numCache>
            </c:numRef>
          </c:val>
          <c:extLst>
            <c:ext xmlns:c16="http://schemas.microsoft.com/office/drawing/2014/chart" uri="{C3380CC4-5D6E-409C-BE32-E72D297353CC}">
              <c16:uniqueId val="{00000002-2A81-483E-85E2-2235D5199CE9}"/>
            </c:ext>
          </c:extLst>
        </c:ser>
        <c:ser>
          <c:idx val="5"/>
          <c:order val="4"/>
          <c:tx>
            <c:strRef>
              <c:f>Graphs!$H$14</c:f>
              <c:strCache>
                <c:ptCount val="1"/>
                <c:pt idx="0">
                  <c:v>Total Fossil</c:v>
                </c:pt>
              </c:strCache>
            </c:strRef>
          </c:tx>
          <c:spPr>
            <a:solidFill>
              <a:schemeClr val="accent3"/>
            </a:solidFill>
            <a:ln>
              <a:noFill/>
            </a:ln>
            <a:effectLst/>
          </c:spPr>
          <c:invertIfNegative val="0"/>
          <c:cat>
            <c:multiLvlStrRef>
              <c:f>Graphs!$A$15:$B$23</c:f>
              <c:multiLvlStrCache>
                <c:ptCount val="9"/>
                <c:lvl>
                  <c:pt idx="0">
                    <c:v>NT+ </c:v>
                  </c:pt>
                  <c:pt idx="1">
                    <c:v>EC</c:v>
                  </c:pt>
                  <c:pt idx="2">
                    <c:v>NT+ </c:v>
                  </c:pt>
                  <c:pt idx="3">
                    <c:v>DE</c:v>
                  </c:pt>
                  <c:pt idx="4">
                    <c:v>GA</c:v>
                  </c:pt>
                  <c:pt idx="5">
                    <c:v>EC</c:v>
                  </c:pt>
                  <c:pt idx="6">
                    <c:v>DE</c:v>
                  </c:pt>
                  <c:pt idx="7">
                    <c:v>GA</c:v>
                  </c:pt>
                  <c:pt idx="8">
                    <c:v>EC</c:v>
                  </c:pt>
                </c:lvl>
                <c:lvl>
                  <c:pt idx="0">
                    <c:v>2030</c:v>
                  </c:pt>
                  <c:pt idx="2">
                    <c:v>2040</c:v>
                  </c:pt>
                  <c:pt idx="6">
                    <c:v>2050</c:v>
                  </c:pt>
                </c:lvl>
              </c:multiLvlStrCache>
            </c:multiLvlStrRef>
          </c:cat>
          <c:val>
            <c:numRef>
              <c:f>Graphs!$H$15:$H$23</c:f>
              <c:numCache>
                <c:formatCode>0</c:formatCode>
                <c:ptCount val="9"/>
                <c:pt idx="1">
                  <c:v>238.47820617530411</c:v>
                </c:pt>
                <c:pt idx="5">
                  <c:v>156.41479784205791</c:v>
                </c:pt>
                <c:pt idx="8">
                  <c:v>141.9440526330313</c:v>
                </c:pt>
              </c:numCache>
            </c:numRef>
          </c:val>
          <c:extLst>
            <c:ext xmlns:c16="http://schemas.microsoft.com/office/drawing/2014/chart" uri="{C3380CC4-5D6E-409C-BE32-E72D297353CC}">
              <c16:uniqueId val="{00000005-2A81-483E-85E2-2235D5199CE9}"/>
            </c:ext>
          </c:extLst>
        </c:ser>
        <c:dLbls>
          <c:showLegendKey val="0"/>
          <c:showVal val="0"/>
          <c:showCatName val="0"/>
          <c:showSerName val="0"/>
          <c:showPercent val="0"/>
          <c:showBubbleSize val="0"/>
        </c:dLbls>
        <c:gapWidth val="150"/>
        <c:overlap val="100"/>
        <c:axId val="1971117135"/>
        <c:axId val="1971116655"/>
      </c:barChart>
      <c:catAx>
        <c:axId val="1971117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rgbClr val="595959"/>
                </a:solidFill>
                <a:latin typeface="+mj-lt"/>
                <a:ea typeface="+mn-ea"/>
                <a:cs typeface="+mn-cs"/>
              </a:defRPr>
            </a:pPr>
            <a:endParaRPr lang="en-US"/>
          </a:p>
        </c:txPr>
        <c:crossAx val="1971116655"/>
        <c:crosses val="autoZero"/>
        <c:auto val="1"/>
        <c:lblAlgn val="ctr"/>
        <c:lblOffset val="100"/>
        <c:noMultiLvlLbl val="0"/>
      </c:catAx>
      <c:valAx>
        <c:axId val="1971116655"/>
        <c:scaling>
          <c:orientation val="minMax"/>
        </c:scaling>
        <c:delete val="0"/>
        <c:axPos val="l"/>
        <c:majorGridlines>
          <c:spPr>
            <a:ln w="22225" cap="rnd" cmpd="sng" algn="ctr">
              <a:solidFill>
                <a:schemeClr val="bg2">
                  <a:lumMod val="90000"/>
                </a:schemeClr>
              </a:solidFill>
              <a:prstDash val="sysDot"/>
              <a:round/>
            </a:ln>
            <a:effectLst/>
          </c:spPr>
        </c:majorGridlines>
        <c:title>
          <c:tx>
            <c:rich>
              <a:bodyPr rot="-5400000" spcFirstLastPara="1" vertOverflow="ellipsis" vert="horz" wrap="square" anchor="ctr" anchorCtr="1"/>
              <a:lstStyle/>
              <a:p>
                <a:pPr>
                  <a:defRPr lang="en-US" sz="1000" b="0" i="0" u="none" strike="noStrike" kern="1200" baseline="0">
                    <a:solidFill>
                      <a:srgbClr val="595959"/>
                    </a:solidFill>
                    <a:latin typeface="+mn-lt"/>
                    <a:ea typeface="+mn-ea"/>
                    <a:cs typeface="+mn-cs"/>
                  </a:defRPr>
                </a:pPr>
                <a:r>
                  <a:rPr lang="en-IE">
                    <a:solidFill>
                      <a:srgbClr val="595959"/>
                    </a:solidFill>
                  </a:rPr>
                  <a:t>Installed</a:t>
                </a:r>
                <a:r>
                  <a:rPr lang="en-IE" baseline="0">
                    <a:solidFill>
                      <a:srgbClr val="595959"/>
                    </a:solidFill>
                  </a:rPr>
                  <a:t> capacity (GW)</a:t>
                </a:r>
                <a:endParaRPr lang="en-DK">
                  <a:solidFill>
                    <a:srgbClr val="595959"/>
                  </a:solidFill>
                </a:endParaRP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rgbClr val="595959"/>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rgbClr val="595959"/>
                </a:solidFill>
                <a:latin typeface="Segoe UI Semibold" panose="020B0702040204020203" pitchFamily="34" charset="0"/>
                <a:ea typeface="+mn-ea"/>
                <a:cs typeface="Segoe UI Semibold" panose="020B0702040204020203" pitchFamily="34" charset="0"/>
              </a:defRPr>
            </a:pPr>
            <a:endParaRPr lang="en-US"/>
          </a:p>
        </c:txPr>
        <c:crossAx val="1971117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rgbClr val="595959"/>
              </a:solidFill>
              <a:latin typeface="Segoe UI Semilight" panose="020B0402040204020203" pitchFamily="34" charset="0"/>
              <a:ea typeface="+mn-ea"/>
              <a:cs typeface="Segoe UI Semilight" panose="020B04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lumMod val="65000"/>
                    <a:lumOff val="35000"/>
                  </a:sysClr>
                </a:solidFill>
                <a:latin typeface="+mn-lt"/>
                <a:ea typeface="+mn-ea"/>
                <a:cs typeface="+mn-cs"/>
              </a:defRPr>
            </a:pPr>
            <a:r>
              <a:rPr lang="nl-NL" sz="1100" b="1" i="0" u="none" strike="noStrike" kern="1200" spc="0" baseline="0">
                <a:solidFill>
                  <a:sysClr val="windowText" lastClr="000000">
                    <a:lumMod val="65000"/>
                    <a:lumOff val="35000"/>
                  </a:sysClr>
                </a:solidFill>
              </a:rPr>
              <a:t>EU27 Total Primary energy supply mix </a:t>
            </a:r>
            <a:r>
              <a:rPr lang="nl-NL" sz="1100" b="1"/>
              <a:t>(TWh)</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stacked"/>
        <c:varyColors val="0"/>
        <c:ser>
          <c:idx val="2"/>
          <c:order val="0"/>
          <c:tx>
            <c:strRef>
              <c:f>'Primary Energy'!$B$11</c:f>
              <c:strCache>
                <c:ptCount val="1"/>
                <c:pt idx="0">
                  <c:v> Oil </c:v>
                </c:pt>
              </c:strCache>
            </c:strRef>
          </c:tx>
          <c:spPr>
            <a:solidFill>
              <a:schemeClr val="accent2">
                <a:lumMod val="50000"/>
              </a:scheme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Energy'!$C$11:$I$11</c:f>
              <c:numCache>
                <c:formatCode>_-* #,##0_-;\-* #,##0_-;_-* "-"??_-;_-@_-</c:formatCode>
                <c:ptCount val="7"/>
                <c:pt idx="0">
                  <c:v>6015.1809999999996</c:v>
                </c:pt>
                <c:pt idx="1">
                  <c:v>3303.6503887010504</c:v>
                </c:pt>
                <c:pt idx="2">
                  <c:v>2029.4129997619848</c:v>
                </c:pt>
                <c:pt idx="3">
                  <c:v>1446.6104451166316</c:v>
                </c:pt>
                <c:pt idx="4">
                  <c:v>423.95388950086902</c:v>
                </c:pt>
                <c:pt idx="5">
                  <c:v>1719.9568743029392</c:v>
                </c:pt>
                <c:pt idx="6">
                  <c:v>501.65466319045782</c:v>
                </c:pt>
              </c:numCache>
            </c:numRef>
          </c:val>
          <c:extLst>
            <c:ext xmlns:c16="http://schemas.microsoft.com/office/drawing/2014/chart" uri="{C3380CC4-5D6E-409C-BE32-E72D297353CC}">
              <c16:uniqueId val="{00000000-DA80-4BEF-A345-35F51415DD66}"/>
            </c:ext>
          </c:extLst>
        </c:ser>
        <c:ser>
          <c:idx val="4"/>
          <c:order val="1"/>
          <c:tx>
            <c:strRef>
              <c:f>'Primary Energy'!$B$15</c:f>
              <c:strCache>
                <c:ptCount val="1"/>
                <c:pt idx="0">
                  <c:v> Coal </c:v>
                </c:pt>
              </c:strCache>
            </c:strRef>
          </c:tx>
          <c:spPr>
            <a:solidFill>
              <a:sysClr val="window" lastClr="FFFFFF">
                <a:lumMod val="50000"/>
              </a:sys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Energy'!$C$15:$I$15</c:f>
              <c:numCache>
                <c:formatCode>_-* #,##0_-;\-* #,##0_-;_-* "-"??_-;_-@_-</c:formatCode>
                <c:ptCount val="7"/>
                <c:pt idx="0">
                  <c:v>1884.567</c:v>
                </c:pt>
                <c:pt idx="1">
                  <c:v>179.28163786885034</c:v>
                </c:pt>
                <c:pt idx="2">
                  <c:v>65.709651040587545</c:v>
                </c:pt>
                <c:pt idx="3">
                  <c:v>166</c:v>
                </c:pt>
                <c:pt idx="4">
                  <c:v>106</c:v>
                </c:pt>
                <c:pt idx="5">
                  <c:v>182.87130045108779</c:v>
                </c:pt>
                <c:pt idx="6">
                  <c:v>102.45937112834974</c:v>
                </c:pt>
              </c:numCache>
            </c:numRef>
          </c:val>
          <c:extLst>
            <c:ext xmlns:c16="http://schemas.microsoft.com/office/drawing/2014/chart" uri="{C3380CC4-5D6E-409C-BE32-E72D297353CC}">
              <c16:uniqueId val="{00000001-DA80-4BEF-A345-35F51415DD66}"/>
            </c:ext>
          </c:extLst>
        </c:ser>
        <c:ser>
          <c:idx val="0"/>
          <c:order val="2"/>
          <c:tx>
            <c:strRef>
              <c:f>'Primary Energy'!$B$8</c:f>
              <c:strCache>
                <c:ptCount val="1"/>
                <c:pt idx="0">
                  <c:v> Natural gas**** </c:v>
                </c:pt>
              </c:strCache>
            </c:strRef>
          </c:tx>
          <c:spPr>
            <a:solidFill>
              <a:srgbClr val="E7E6E6">
                <a:lumMod val="90000"/>
              </a:srgb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Energy'!$C$8:$I$8</c:f>
              <c:numCache>
                <c:formatCode>_-* #,##0_-;\-* #,##0_-;_-* "-"??_-;_-@_-</c:formatCode>
                <c:ptCount val="7"/>
                <c:pt idx="0">
                  <c:v>3588.7669999999998</c:v>
                </c:pt>
                <c:pt idx="1">
                  <c:v>2977.7941551897229</c:v>
                </c:pt>
                <c:pt idx="2">
                  <c:v>1491.7509272985949</c:v>
                </c:pt>
                <c:pt idx="3">
                  <c:v>1127.3020140981507</c:v>
                </c:pt>
                <c:pt idx="4">
                  <c:v>0.38688526824512337</c:v>
                </c:pt>
                <c:pt idx="5">
                  <c:v>1223.5951789125768</c:v>
                </c:pt>
                <c:pt idx="6">
                  <c:v>1.5024958478761619E-2</c:v>
                </c:pt>
              </c:numCache>
            </c:numRef>
          </c:val>
          <c:extLst>
            <c:ext xmlns:c16="http://schemas.microsoft.com/office/drawing/2014/chart" uri="{C3380CC4-5D6E-409C-BE32-E72D297353CC}">
              <c16:uniqueId val="{00000002-DA80-4BEF-A345-35F51415DD66}"/>
            </c:ext>
          </c:extLst>
        </c:ser>
        <c:ser>
          <c:idx val="15"/>
          <c:order val="3"/>
          <c:tx>
            <c:strRef>
              <c:f>'Primary Energy'!$B$13</c:f>
              <c:strCache>
                <c:ptCount val="1"/>
                <c:pt idx="0">
                  <c:v> Undefined hydrogen** </c:v>
                </c:pt>
              </c:strCache>
            </c:strRef>
          </c:tx>
          <c:spPr>
            <a:solidFill>
              <a:schemeClr val="accent4">
                <a:lumMod val="80000"/>
                <a:lumOff val="20000"/>
              </a:schemeClr>
            </a:solidFill>
            <a:ln>
              <a:noFill/>
            </a:ln>
            <a:effectLst/>
          </c:spPr>
          <c:invertIfNegative val="0"/>
          <c:val>
            <c:numRef>
              <c:f>'Primary Energy'!$C$13:$I$13</c:f>
              <c:numCache>
                <c:formatCode>_-* #,##0_-;\-* #,##0_-;_-* "-"??_-;_-@_-</c:formatCode>
                <c:ptCount val="7"/>
                <c:pt idx="0">
                  <c:v>0</c:v>
                </c:pt>
                <c:pt idx="1">
                  <c:v>9.6510638782389719</c:v>
                </c:pt>
                <c:pt idx="2">
                  <c:v>174.11684649940685</c:v>
                </c:pt>
                <c:pt idx="3">
                  <c:v>0</c:v>
                </c:pt>
                <c:pt idx="4">
                  <c:v>0</c:v>
                </c:pt>
                <c:pt idx="5">
                  <c:v>0</c:v>
                </c:pt>
                <c:pt idx="6">
                  <c:v>0</c:v>
                </c:pt>
              </c:numCache>
            </c:numRef>
          </c:val>
          <c:extLst>
            <c:ext xmlns:c16="http://schemas.microsoft.com/office/drawing/2014/chart" uri="{C3380CC4-5D6E-409C-BE32-E72D297353CC}">
              <c16:uniqueId val="{00000003-DA80-4BEF-A345-35F51415DD66}"/>
            </c:ext>
          </c:extLst>
        </c:ser>
        <c:ser>
          <c:idx val="12"/>
          <c:order val="5"/>
          <c:tx>
            <c:strRef>
              <c:f>'Primary Energy'!$B$10</c:f>
              <c:strCache>
                <c:ptCount val="1"/>
                <c:pt idx="0">
                  <c:v> Imported H2 low carbon </c:v>
                </c:pt>
              </c:strCache>
            </c:strRef>
          </c:tx>
          <c:spPr>
            <a:solidFill>
              <a:schemeClr val="accent1">
                <a:lumMod val="80000"/>
                <a:lumOff val="20000"/>
              </a:schemeClr>
            </a:solidFill>
            <a:ln>
              <a:noFill/>
            </a:ln>
            <a:effectLst/>
          </c:spPr>
          <c:invertIfNegative val="0"/>
          <c:val>
            <c:numRef>
              <c:f>'Primary Energy'!$C$10:$I$10</c:f>
              <c:numCache>
                <c:formatCode>_-* #,##0_-;\-* #,##0_-;_-* "-"??_-;_-@_-</c:formatCode>
                <c:ptCount val="7"/>
                <c:pt idx="0">
                  <c:v>0</c:v>
                </c:pt>
                <c:pt idx="1">
                  <c:v>45.176000000000002</c:v>
                </c:pt>
                <c:pt idx="2">
                  <c:v>178.733</c:v>
                </c:pt>
                <c:pt idx="3">
                  <c:v>134.71767465224548</c:v>
                </c:pt>
                <c:pt idx="4">
                  <c:v>111</c:v>
                </c:pt>
                <c:pt idx="5">
                  <c:v>196.41845973647861</c:v>
                </c:pt>
                <c:pt idx="6">
                  <c:v>191.57113536085379</c:v>
                </c:pt>
              </c:numCache>
            </c:numRef>
          </c:val>
          <c:extLst>
            <c:ext xmlns:c16="http://schemas.microsoft.com/office/drawing/2014/chart" uri="{C3380CC4-5D6E-409C-BE32-E72D297353CC}">
              <c16:uniqueId val="{00000004-DA80-4BEF-A345-35F51415DD66}"/>
            </c:ext>
          </c:extLst>
        </c:ser>
        <c:ser>
          <c:idx val="6"/>
          <c:order val="7"/>
          <c:tx>
            <c:strRef>
              <c:f>'Primary Energy'!$B$17</c:f>
              <c:strCache>
                <c:ptCount val="1"/>
                <c:pt idx="0">
                  <c:v> Nuclear </c:v>
                </c:pt>
              </c:strCache>
            </c:strRef>
          </c:tx>
          <c:spPr>
            <a:solidFill>
              <a:srgbClr val="FFC000"/>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Energy'!$C$17:$I$17</c:f>
              <c:numCache>
                <c:formatCode>_-* #,##0_-;\-* #,##0_-;_-* "-"??_-;_-@_-</c:formatCode>
                <c:ptCount val="7"/>
                <c:pt idx="0">
                  <c:v>1808.249</c:v>
                </c:pt>
                <c:pt idx="1">
                  <c:v>567.64064027999598</c:v>
                </c:pt>
                <c:pt idx="2">
                  <c:v>522.4438506459901</c:v>
                </c:pt>
                <c:pt idx="3">
                  <c:v>401.58842000000004</c:v>
                </c:pt>
                <c:pt idx="4">
                  <c:v>246.81151</c:v>
                </c:pt>
                <c:pt idx="5">
                  <c:v>552.88364000000001</c:v>
                </c:pt>
                <c:pt idx="6">
                  <c:v>507.93813</c:v>
                </c:pt>
              </c:numCache>
            </c:numRef>
          </c:val>
          <c:extLst>
            <c:ext xmlns:c16="http://schemas.microsoft.com/office/drawing/2014/chart" uri="{C3380CC4-5D6E-409C-BE32-E72D297353CC}">
              <c16:uniqueId val="{00000005-DA80-4BEF-A345-35F51415DD66}"/>
            </c:ext>
          </c:extLst>
        </c:ser>
        <c:ser>
          <c:idx val="3"/>
          <c:order val="8"/>
          <c:tx>
            <c:strRef>
              <c:f>'Primary Energy'!$B$12</c:f>
              <c:strCache>
                <c:ptCount val="1"/>
                <c:pt idx="0">
                  <c:v> Imported biofuels </c:v>
                </c:pt>
              </c:strCache>
            </c:strRef>
          </c:tx>
          <c:spPr>
            <a:solidFill>
              <a:srgbClr val="92D050"/>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Energy'!$C$12:$I$12</c:f>
              <c:numCache>
                <c:formatCode>_-* #,##0_-;\-* #,##0_-;_-* "-"??_-;_-@_-</c:formatCode>
                <c:ptCount val="7"/>
                <c:pt idx="0">
                  <c:v>81.625</c:v>
                </c:pt>
                <c:pt idx="1">
                  <c:v>0</c:v>
                </c:pt>
                <c:pt idx="2">
                  <c:v>0</c:v>
                </c:pt>
                <c:pt idx="3">
                  <c:v>80.015048922050283</c:v>
                </c:pt>
                <c:pt idx="4">
                  <c:v>125</c:v>
                </c:pt>
                <c:pt idx="5">
                  <c:v>59.215839228104777</c:v>
                </c:pt>
                <c:pt idx="6">
                  <c:v>74.295371041462758</c:v>
                </c:pt>
              </c:numCache>
            </c:numRef>
          </c:val>
          <c:extLst>
            <c:ext xmlns:c16="http://schemas.microsoft.com/office/drawing/2014/chart" uri="{C3380CC4-5D6E-409C-BE32-E72D297353CC}">
              <c16:uniqueId val="{00000006-DA80-4BEF-A345-35F51415DD66}"/>
            </c:ext>
          </c:extLst>
        </c:ser>
        <c:ser>
          <c:idx val="1"/>
          <c:order val="9"/>
          <c:tx>
            <c:strRef>
              <c:f>'Primary Energy'!$B$9</c:f>
              <c:strCache>
                <c:ptCount val="1"/>
                <c:pt idx="0">
                  <c:v> Imported H2 green (inc Ammonia) </c:v>
                </c:pt>
              </c:strCache>
            </c:strRef>
          </c:tx>
          <c:spPr>
            <a:solidFill>
              <a:srgbClr val="4472C4">
                <a:lumMod val="40000"/>
                <a:lumOff val="60000"/>
              </a:srgb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Energy'!$C$9:$I$9</c:f>
              <c:numCache>
                <c:formatCode>_-* #,##0_-;\-* #,##0_-;_-* "-"??_-;_-@_-</c:formatCode>
                <c:ptCount val="7"/>
                <c:pt idx="0">
                  <c:v>0</c:v>
                </c:pt>
                <c:pt idx="1">
                  <c:v>122.03100000000001</c:v>
                </c:pt>
                <c:pt idx="2">
                  <c:v>531.73199999999997</c:v>
                </c:pt>
                <c:pt idx="3">
                  <c:v>523.12475813869696</c:v>
                </c:pt>
                <c:pt idx="4">
                  <c:v>453</c:v>
                </c:pt>
                <c:pt idx="5">
                  <c:v>627.32667259725986</c:v>
                </c:pt>
                <c:pt idx="6">
                  <c:v>789.75418995396342</c:v>
                </c:pt>
              </c:numCache>
            </c:numRef>
          </c:val>
          <c:extLst>
            <c:ext xmlns:c16="http://schemas.microsoft.com/office/drawing/2014/chart" uri="{C3380CC4-5D6E-409C-BE32-E72D297353CC}">
              <c16:uniqueId val="{00000007-DA80-4BEF-A345-35F51415DD66}"/>
            </c:ext>
          </c:extLst>
        </c:ser>
        <c:ser>
          <c:idx val="11"/>
          <c:order val="10"/>
          <c:tx>
            <c:strRef>
              <c:f>'Primary Energy'!$B$14</c:f>
              <c:strCache>
                <c:ptCount val="1"/>
                <c:pt idx="0">
                  <c:v> Imported synthetic methane </c:v>
                </c:pt>
              </c:strCache>
            </c:strRef>
          </c:tx>
          <c:spPr>
            <a:solidFill>
              <a:schemeClr val="accent6">
                <a:lumMod val="60000"/>
              </a:schemeClr>
            </a:solidFill>
            <a:ln>
              <a:noFill/>
            </a:ln>
            <a:effectLst/>
          </c:spPr>
          <c:invertIfNegative val="0"/>
          <c:val>
            <c:numRef>
              <c:f>'Primary Energy'!$C$14:$I$14</c:f>
              <c:numCache>
                <c:formatCode>_-* #,##0_-;\-* #,##0_-;_-* "-"??_-;_-@_-</c:formatCode>
                <c:ptCount val="7"/>
                <c:pt idx="0">
                  <c:v>0</c:v>
                </c:pt>
                <c:pt idx="1">
                  <c:v>7.5</c:v>
                </c:pt>
                <c:pt idx="2">
                  <c:v>15</c:v>
                </c:pt>
                <c:pt idx="3">
                  <c:v>3.6949723285098215</c:v>
                </c:pt>
                <c:pt idx="4">
                  <c:v>17.271800424652046</c:v>
                </c:pt>
                <c:pt idx="5">
                  <c:v>6.5914492930962805</c:v>
                </c:pt>
                <c:pt idx="6">
                  <c:v>15.461453624933679</c:v>
                </c:pt>
              </c:numCache>
            </c:numRef>
          </c:val>
          <c:extLst>
            <c:ext xmlns:c16="http://schemas.microsoft.com/office/drawing/2014/chart" uri="{C3380CC4-5D6E-409C-BE32-E72D297353CC}">
              <c16:uniqueId val="{00000008-DA80-4BEF-A345-35F51415DD66}"/>
            </c:ext>
          </c:extLst>
        </c:ser>
        <c:ser>
          <c:idx val="5"/>
          <c:order val="11"/>
          <c:tx>
            <c:strRef>
              <c:f>'Primary Energy'!$B$16</c:f>
              <c:strCache>
                <c:ptCount val="1"/>
                <c:pt idx="0">
                  <c:v> Biomass  </c:v>
                </c:pt>
              </c:strCache>
            </c:strRef>
          </c:tx>
          <c:spPr>
            <a:solidFill>
              <a:srgbClr val="5B9BD5">
                <a:lumMod val="75000"/>
              </a:srgb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Energy'!$C$16:$I$16</c:f>
              <c:numCache>
                <c:formatCode>_-* #,##0_-;\-* #,##0_-;_-* "-"??_-;_-@_-</c:formatCode>
                <c:ptCount val="7"/>
                <c:pt idx="0">
                  <c:v>1604.8789999999999</c:v>
                </c:pt>
                <c:pt idx="1">
                  <c:v>2021.9443946033189</c:v>
                </c:pt>
                <c:pt idx="2">
                  <c:v>2447.3979441018805</c:v>
                </c:pt>
                <c:pt idx="3">
                  <c:v>1670.1230068863874</c:v>
                </c:pt>
                <c:pt idx="4">
                  <c:v>1575.2743429895449</c:v>
                </c:pt>
                <c:pt idx="5">
                  <c:v>1990.3384591293932</c:v>
                </c:pt>
                <c:pt idx="6">
                  <c:v>2005.6676657618732</c:v>
                </c:pt>
              </c:numCache>
            </c:numRef>
          </c:val>
          <c:extLst>
            <c:ext xmlns:c16="http://schemas.microsoft.com/office/drawing/2014/chart" uri="{C3380CC4-5D6E-409C-BE32-E72D297353CC}">
              <c16:uniqueId val="{00000009-DA80-4BEF-A345-35F51415DD66}"/>
            </c:ext>
          </c:extLst>
        </c:ser>
        <c:ser>
          <c:idx val="10"/>
          <c:order val="12"/>
          <c:tx>
            <c:strRef>
              <c:f>'Primary Energy'!$B$21</c:f>
              <c:strCache>
                <c:ptCount val="1"/>
                <c:pt idx="0">
                  <c:v> Other RES*** </c:v>
                </c:pt>
              </c:strCache>
            </c:strRef>
          </c:tx>
          <c:spPr>
            <a:solidFill>
              <a:srgbClr val="70AD47">
                <a:lumMod val="75000"/>
              </a:srgbClr>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Energy'!$C$21:$I$21</c:f>
              <c:numCache>
                <c:formatCode>_-* #,##0_-;\-* #,##0_-;_-* "-"??_-;_-@_-</c:formatCode>
                <c:ptCount val="7"/>
                <c:pt idx="0">
                  <c:v>271.221</c:v>
                </c:pt>
                <c:pt idx="1">
                  <c:v>185.14318497098733</c:v>
                </c:pt>
                <c:pt idx="2">
                  <c:v>147</c:v>
                </c:pt>
                <c:pt idx="3">
                  <c:v>143.86554599999999</c:v>
                </c:pt>
                <c:pt idx="4">
                  <c:v>133.13015029999997</c:v>
                </c:pt>
                <c:pt idx="5">
                  <c:v>143.79181940000001</c:v>
                </c:pt>
                <c:pt idx="6">
                  <c:v>134.38217639999999</c:v>
                </c:pt>
              </c:numCache>
            </c:numRef>
          </c:val>
          <c:extLst>
            <c:ext xmlns:c16="http://schemas.microsoft.com/office/drawing/2014/chart" uri="{C3380CC4-5D6E-409C-BE32-E72D297353CC}">
              <c16:uniqueId val="{0000000A-DA80-4BEF-A345-35F51415DD66}"/>
            </c:ext>
          </c:extLst>
        </c:ser>
        <c:ser>
          <c:idx val="7"/>
          <c:order val="13"/>
          <c:tx>
            <c:strRef>
              <c:f>'Primary Energy'!$B$18</c:f>
              <c:strCache>
                <c:ptCount val="1"/>
                <c:pt idx="0">
                  <c:v> Hydro (excl pump storage) </c:v>
                </c:pt>
              </c:strCache>
            </c:strRef>
          </c:tx>
          <c:spPr>
            <a:solidFill>
              <a:srgbClr val="00B0F0"/>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Energy'!$C$18:$I$18</c:f>
              <c:numCache>
                <c:formatCode>_-* #,##0_-;\-* #,##0_-;_-* "-"??_-;_-@_-</c:formatCode>
                <c:ptCount val="7"/>
                <c:pt idx="0">
                  <c:v>276.23700000000002</c:v>
                </c:pt>
                <c:pt idx="1">
                  <c:v>314.90663010999901</c:v>
                </c:pt>
                <c:pt idx="2">
                  <c:v>314.73668765999798</c:v>
                </c:pt>
                <c:pt idx="3">
                  <c:v>314.59375</c:v>
                </c:pt>
                <c:pt idx="4">
                  <c:v>313.35157000000004</c:v>
                </c:pt>
                <c:pt idx="5">
                  <c:v>314.47647000000001</c:v>
                </c:pt>
                <c:pt idx="6">
                  <c:v>314.69470000000001</c:v>
                </c:pt>
              </c:numCache>
            </c:numRef>
          </c:val>
          <c:extLst>
            <c:ext xmlns:c16="http://schemas.microsoft.com/office/drawing/2014/chart" uri="{C3380CC4-5D6E-409C-BE32-E72D297353CC}">
              <c16:uniqueId val="{0000000B-DA80-4BEF-A345-35F51415DD66}"/>
            </c:ext>
          </c:extLst>
        </c:ser>
        <c:ser>
          <c:idx val="8"/>
          <c:order val="14"/>
          <c:tx>
            <c:strRef>
              <c:f>'Primary Energy'!$B$19</c:f>
              <c:strCache>
                <c:ptCount val="1"/>
                <c:pt idx="0">
                  <c:v> Solar </c:v>
                </c:pt>
              </c:strCache>
            </c:strRef>
          </c:tx>
          <c:spPr>
            <a:solidFill>
              <a:srgbClr val="FFFF00"/>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Energy'!$C$19:$I$19</c:f>
              <c:numCache>
                <c:formatCode>_-* #,##0_-;\-* #,##0_-;_-* "-"??_-;_-@_-</c:formatCode>
                <c:ptCount val="7"/>
                <c:pt idx="0">
                  <c:v>251.185</c:v>
                </c:pt>
                <c:pt idx="1">
                  <c:v>771.74168311200106</c:v>
                </c:pt>
                <c:pt idx="2">
                  <c:v>1343.8442921589999</c:v>
                </c:pt>
                <c:pt idx="3">
                  <c:v>1583.0448802000001</c:v>
                </c:pt>
                <c:pt idx="4">
                  <c:v>2246.1636115999991</c:v>
                </c:pt>
                <c:pt idx="5">
                  <c:v>1443.7531511999998</c:v>
                </c:pt>
                <c:pt idx="6">
                  <c:v>1907.5570581999996</c:v>
                </c:pt>
              </c:numCache>
            </c:numRef>
          </c:val>
          <c:extLst>
            <c:ext xmlns:c16="http://schemas.microsoft.com/office/drawing/2014/chart" uri="{C3380CC4-5D6E-409C-BE32-E72D297353CC}">
              <c16:uniqueId val="{0000000C-DA80-4BEF-A345-35F51415DD66}"/>
            </c:ext>
          </c:extLst>
        </c:ser>
        <c:ser>
          <c:idx val="9"/>
          <c:order val="15"/>
          <c:tx>
            <c:strRef>
              <c:f>'Primary Energy'!$B$20</c:f>
              <c:strCache>
                <c:ptCount val="1"/>
                <c:pt idx="0">
                  <c:v> Wind </c:v>
                </c:pt>
              </c:strCache>
            </c:strRef>
          </c:tx>
          <c:spPr>
            <a:solidFill>
              <a:srgbClr val="70AD47"/>
            </a:solidFill>
            <a:ln>
              <a:noFill/>
            </a:ln>
            <a:effectLst/>
          </c:spPr>
          <c:invertIfNegative val="0"/>
          <c:cat>
            <c:multiLvlStrRef>
              <c:f>'Primary Energy'!$C$6:$I$7</c:f>
              <c:multiLvlStrCache>
                <c:ptCount val="7"/>
                <c:lvl>
                  <c:pt idx="0">
                    <c:v>2022</c:v>
                  </c:pt>
                  <c:pt idx="1">
                    <c:v>2030</c:v>
                  </c:pt>
                  <c:pt idx="2">
                    <c:v>2040</c:v>
                  </c:pt>
                  <c:pt idx="3">
                    <c:v>2040</c:v>
                  </c:pt>
                  <c:pt idx="4">
                    <c:v>2050</c:v>
                  </c:pt>
                  <c:pt idx="5">
                    <c:v>2040</c:v>
                  </c:pt>
                  <c:pt idx="6">
                    <c:v>2050</c:v>
                  </c:pt>
                </c:lvl>
                <c:lvl>
                  <c:pt idx="0">
                    <c:v>Historic*</c:v>
                  </c:pt>
                  <c:pt idx="1">
                    <c:v> National Trends+ </c:v>
                  </c:pt>
                  <c:pt idx="3">
                    <c:v> Distributed Energy </c:v>
                  </c:pt>
                  <c:pt idx="5">
                    <c:v> Global Ambition </c:v>
                  </c:pt>
                </c:lvl>
              </c:multiLvlStrCache>
            </c:multiLvlStrRef>
          </c:cat>
          <c:val>
            <c:numRef>
              <c:f>'Primary Energy'!$C$20:$I$20</c:f>
              <c:numCache>
                <c:formatCode>_-* #,##0_-;\-* #,##0_-;_-* "-"??_-;_-@_-</c:formatCode>
                <c:ptCount val="7"/>
                <c:pt idx="0">
                  <c:v>421.31700000000001</c:v>
                </c:pt>
                <c:pt idx="1">
                  <c:v>1285.902418338</c:v>
                </c:pt>
                <c:pt idx="2">
                  <c:v>2460.444942267</c:v>
                </c:pt>
                <c:pt idx="3">
                  <c:v>2905.5760349000002</c:v>
                </c:pt>
                <c:pt idx="4">
                  <c:v>3814.3538221000003</c:v>
                </c:pt>
                <c:pt idx="5">
                  <c:v>2845.4856705000002</c:v>
                </c:pt>
                <c:pt idx="6">
                  <c:v>3895.7899885999996</c:v>
                </c:pt>
              </c:numCache>
            </c:numRef>
          </c:val>
          <c:extLst>
            <c:ext xmlns:c16="http://schemas.microsoft.com/office/drawing/2014/chart" uri="{C3380CC4-5D6E-409C-BE32-E72D297353CC}">
              <c16:uniqueId val="{0000000D-DA80-4BEF-A345-35F51415DD66}"/>
            </c:ext>
          </c:extLst>
        </c:ser>
        <c:dLbls>
          <c:showLegendKey val="0"/>
          <c:showVal val="0"/>
          <c:showCatName val="0"/>
          <c:showSerName val="0"/>
          <c:showPercent val="0"/>
          <c:showBubbleSize val="0"/>
        </c:dLbls>
        <c:gapWidth val="150"/>
        <c:overlap val="100"/>
        <c:axId val="411044000"/>
        <c:axId val="411044392"/>
        <c:extLst>
          <c:ext xmlns:c15="http://schemas.microsoft.com/office/drawing/2012/chart" uri="{02D57815-91ED-43cb-92C2-25804820EDAC}">
            <c15:filteredBarSeries>
              <c15:ser>
                <c:idx val="13"/>
                <c:order val="4"/>
                <c:tx>
                  <c:strRef>
                    <c:extLst>
                      <c:ext uri="{02D57815-91ED-43cb-92C2-25804820EDAC}">
                        <c15:formulaRef>
                          <c15:sqref>'[1]18'!#REF!</c15:sqref>
                        </c15:formulaRef>
                      </c:ext>
                    </c:extLst>
                    <c:strCache>
                      <c:ptCount val="1"/>
                      <c:pt idx="0">
                        <c:v>#REF!</c:v>
                      </c:pt>
                    </c:strCache>
                  </c:strRef>
                </c:tx>
                <c:spPr>
                  <a:solidFill>
                    <a:schemeClr val="accent2">
                      <a:lumMod val="80000"/>
                      <a:lumOff val="20000"/>
                    </a:schemeClr>
                  </a:solidFill>
                  <a:ln>
                    <a:noFill/>
                  </a:ln>
                  <a:effectLst/>
                </c:spPr>
                <c:invertIfNegative val="0"/>
                <c:val>
                  <c:numRef>
                    <c:extLst>
                      <c:ext uri="{02D57815-91ED-43cb-92C2-25804820EDAC}">
                        <c15:formulaRef>
                          <c15:sqref>'[1]18'!#REF!</c15:sqref>
                        </c15:formulaRef>
                      </c:ext>
                    </c:extLst>
                    <c:numCache>
                      <c:formatCode>General</c:formatCode>
                      <c:ptCount val="1"/>
                      <c:pt idx="0">
                        <c:v>1</c:v>
                      </c:pt>
                    </c:numCache>
                  </c:numRef>
                </c:val>
                <c:extLst>
                  <c:ext xmlns:c16="http://schemas.microsoft.com/office/drawing/2014/chart" uri="{C3380CC4-5D6E-409C-BE32-E72D297353CC}">
                    <c16:uniqueId val="{0000000E-DA80-4BEF-A345-35F51415DD66}"/>
                  </c:ext>
                </c:extLst>
              </c15:ser>
            </c15:filteredBarSeries>
            <c15:filteredBarSeries>
              <c15:ser>
                <c:idx val="14"/>
                <c:order val="6"/>
                <c:tx>
                  <c:strRef>
                    <c:extLst xmlns:c15="http://schemas.microsoft.com/office/drawing/2012/chart">
                      <c:ext xmlns:c15="http://schemas.microsoft.com/office/drawing/2012/chart" uri="{02D57815-91ED-43cb-92C2-25804820EDAC}">
                        <c15:formulaRef>
                          <c15:sqref>'[1]18'!#REF!</c15:sqref>
                        </c15:formulaRef>
                      </c:ext>
                    </c:extLst>
                    <c:strCache>
                      <c:ptCount val="1"/>
                      <c:pt idx="0">
                        <c:v>#REF!</c:v>
                      </c:pt>
                    </c:strCache>
                  </c:strRef>
                </c:tx>
                <c:spPr>
                  <a:solidFill>
                    <a:schemeClr val="accent3">
                      <a:lumMod val="80000"/>
                      <a:lumOff val="20000"/>
                    </a:schemeClr>
                  </a:solidFill>
                  <a:ln>
                    <a:noFill/>
                  </a:ln>
                  <a:effectLst/>
                </c:spPr>
                <c:invertIfNegative val="0"/>
                <c:val>
                  <c:numRef>
                    <c:extLst xmlns:c15="http://schemas.microsoft.com/office/drawing/2012/chart">
                      <c:ext xmlns:c15="http://schemas.microsoft.com/office/drawing/2012/chart" uri="{02D57815-91ED-43cb-92C2-25804820EDAC}">
                        <c15:formulaRef>
                          <c15:sqref>'[1]18'!#REF!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F-DA80-4BEF-A345-35F51415DD66}"/>
                  </c:ext>
                </c:extLst>
              </c15:ser>
            </c15:filteredBarSeries>
          </c:ext>
        </c:extLst>
      </c:barChart>
      <c:catAx>
        <c:axId val="41104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11044392"/>
        <c:crosses val="autoZero"/>
        <c:auto val="1"/>
        <c:lblAlgn val="ctr"/>
        <c:lblOffset val="100"/>
        <c:noMultiLvlLbl val="0"/>
      </c:catAx>
      <c:valAx>
        <c:axId val="411044392"/>
        <c:scaling>
          <c:orientation val="minMax"/>
          <c:max val="16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1104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 lastClr="FFFFFF">
          <a:lumMod val="75000"/>
        </a:sysClr>
      </a:solidFill>
      <a:round/>
    </a:ln>
    <a:effectLst/>
  </c:spPr>
  <c:txPr>
    <a:bodyPr/>
    <a:lstStyle/>
    <a:p>
      <a:pPr>
        <a:defRPr sz="10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b="1" i="0" baseline="0">
                <a:effectLst/>
              </a:rPr>
              <a:t>Final Energy demand per carrier, EU27 </a:t>
            </a:r>
            <a:endParaRPr lang="fr-FR" sz="1200">
              <a:effectLst/>
            </a:endParaRPr>
          </a:p>
        </c:rich>
      </c:tx>
      <c:layout>
        <c:manualLayout>
          <c:xMode val="edge"/>
          <c:yMode val="edge"/>
          <c:x val="0.32331725521231308"/>
          <c:y val="1.7146684461531388E-2"/>
        </c:manualLayout>
      </c:layout>
      <c:overlay val="1"/>
    </c:title>
    <c:autoTitleDeleted val="0"/>
    <c:plotArea>
      <c:layout>
        <c:manualLayout>
          <c:layoutTarget val="inner"/>
          <c:xMode val="edge"/>
          <c:yMode val="edge"/>
          <c:x val="9.4748586523859341E-2"/>
          <c:y val="0.10250814601650975"/>
          <c:w val="0.87404732423714215"/>
          <c:h val="0.64171734871169273"/>
        </c:manualLayout>
      </c:layout>
      <c:barChart>
        <c:barDir val="col"/>
        <c:grouping val="stacked"/>
        <c:varyColors val="0"/>
        <c:ser>
          <c:idx val="0"/>
          <c:order val="0"/>
          <c:tx>
            <c:strRef>
              <c:f>FED!$B$7</c:f>
              <c:strCache>
                <c:ptCount val="1"/>
                <c:pt idx="0">
                  <c:v>Electricity</c:v>
                </c:pt>
              </c:strCache>
            </c:strRef>
          </c:tx>
          <c:spPr>
            <a:solidFill>
              <a:schemeClr val="accent1">
                <a:lumMod val="75000"/>
              </a:schemeClr>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FED!$C$7:$I$7</c:f>
              <c:numCache>
                <c:formatCode>_-* #,##0_-;\-* #,##0_-;_-* "-"??_-;_-@_-</c:formatCode>
                <c:ptCount val="7"/>
                <c:pt idx="0">
                  <c:v>2528.779931147933</c:v>
                </c:pt>
                <c:pt idx="1">
                  <c:v>3062.8373511129394</c:v>
                </c:pt>
                <c:pt idx="2">
                  <c:v>3534.4085441116754</c:v>
                </c:pt>
                <c:pt idx="3">
                  <c:v>3765.6712656630616</c:v>
                </c:pt>
                <c:pt idx="4">
                  <c:v>4062.9695125408994</c:v>
                </c:pt>
                <c:pt idx="5">
                  <c:v>3368.4290397443533</c:v>
                </c:pt>
                <c:pt idx="6">
                  <c:v>3616.0303966722827</c:v>
                </c:pt>
              </c:numCache>
            </c:numRef>
          </c:val>
          <c:extLst>
            <c:ext xmlns:c16="http://schemas.microsoft.com/office/drawing/2014/chart" uri="{C3380CC4-5D6E-409C-BE32-E72D297353CC}">
              <c16:uniqueId val="{00000000-7BE8-4198-B905-7193EF96DAD3}"/>
            </c:ext>
          </c:extLst>
        </c:ser>
        <c:ser>
          <c:idx val="1"/>
          <c:order val="1"/>
          <c:tx>
            <c:strRef>
              <c:f>FED!$B$8</c:f>
              <c:strCache>
                <c:ptCount val="1"/>
                <c:pt idx="0">
                  <c:v>Hydrogen</c:v>
                </c:pt>
              </c:strCache>
            </c:strRef>
          </c:tx>
          <c:spPr>
            <a:solidFill>
              <a:schemeClr val="accent5">
                <a:lumMod val="40000"/>
                <a:lumOff val="60000"/>
              </a:schemeClr>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FED!$C$8:$I$8</c:f>
              <c:numCache>
                <c:formatCode>_-* #,##0_-;\-* #,##0_-;_-* "-"??_-;_-@_-</c:formatCode>
                <c:ptCount val="7"/>
                <c:pt idx="0">
                  <c:v>0</c:v>
                </c:pt>
                <c:pt idx="1">
                  <c:v>390.80557622508314</c:v>
                </c:pt>
                <c:pt idx="2">
                  <c:v>945.74656297293848</c:v>
                </c:pt>
                <c:pt idx="3">
                  <c:v>1013.7446304438419</c:v>
                </c:pt>
                <c:pt idx="4">
                  <c:v>1436.7344008288665</c:v>
                </c:pt>
                <c:pt idx="5">
                  <c:v>1600.6993910274318</c:v>
                </c:pt>
                <c:pt idx="6">
                  <c:v>2277.1878526008509</c:v>
                </c:pt>
              </c:numCache>
            </c:numRef>
          </c:val>
          <c:extLst>
            <c:ext xmlns:c16="http://schemas.microsoft.com/office/drawing/2014/chart" uri="{C3380CC4-5D6E-409C-BE32-E72D297353CC}">
              <c16:uniqueId val="{00000001-7BE8-4198-B905-7193EF96DAD3}"/>
            </c:ext>
          </c:extLst>
        </c:ser>
        <c:ser>
          <c:idx val="2"/>
          <c:order val="2"/>
          <c:tx>
            <c:strRef>
              <c:f>FED!$B$9</c:f>
              <c:strCache>
                <c:ptCount val="1"/>
                <c:pt idx="0">
                  <c:v>Methane</c:v>
                </c:pt>
              </c:strCache>
            </c:strRef>
          </c:tx>
          <c:spPr>
            <a:solidFill>
              <a:srgbClr val="00B0F0"/>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FED!$C$9:$I$9</c:f>
              <c:numCache>
                <c:formatCode>_-* #,##0_-;\-* #,##0_-;_-* "-"??_-;_-@_-</c:formatCode>
                <c:ptCount val="7"/>
                <c:pt idx="0">
                  <c:v>2700.38328386886</c:v>
                </c:pt>
                <c:pt idx="1">
                  <c:v>2234.0645790144358</c:v>
                </c:pt>
                <c:pt idx="2">
                  <c:v>1544.0581468432376</c:v>
                </c:pt>
                <c:pt idx="3">
                  <c:v>1348.7950152215419</c:v>
                </c:pt>
                <c:pt idx="4">
                  <c:v>782.94609201787034</c:v>
                </c:pt>
                <c:pt idx="5">
                  <c:v>1699.9878274871176</c:v>
                </c:pt>
                <c:pt idx="6">
                  <c:v>983.23705303287113</c:v>
                </c:pt>
              </c:numCache>
            </c:numRef>
          </c:val>
          <c:extLst>
            <c:ext xmlns:c16="http://schemas.microsoft.com/office/drawing/2014/chart" uri="{C3380CC4-5D6E-409C-BE32-E72D297353CC}">
              <c16:uniqueId val="{00000002-7BE8-4198-B905-7193EF96DAD3}"/>
            </c:ext>
          </c:extLst>
        </c:ser>
        <c:ser>
          <c:idx val="3"/>
          <c:order val="3"/>
          <c:tx>
            <c:strRef>
              <c:f>FED!$B$10</c:f>
              <c:strCache>
                <c:ptCount val="1"/>
                <c:pt idx="0">
                  <c:v>Heat</c:v>
                </c:pt>
              </c:strCache>
            </c:strRef>
          </c:tx>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FED!$C$10:$I$10</c:f>
              <c:numCache>
                <c:formatCode>_-* #,##0_-;\-* #,##0_-;_-* "-"??_-;_-@_-</c:formatCode>
                <c:ptCount val="7"/>
                <c:pt idx="0">
                  <c:v>634.47987538458926</c:v>
                </c:pt>
                <c:pt idx="1">
                  <c:v>373.42403879283177</c:v>
                </c:pt>
                <c:pt idx="2">
                  <c:v>493.28427777947195</c:v>
                </c:pt>
                <c:pt idx="3">
                  <c:v>664.71798330174556</c:v>
                </c:pt>
                <c:pt idx="4">
                  <c:v>597.25220359032585</c:v>
                </c:pt>
                <c:pt idx="5">
                  <c:v>606.55412652022824</c:v>
                </c:pt>
                <c:pt idx="6">
                  <c:v>515.80499883747063</c:v>
                </c:pt>
              </c:numCache>
            </c:numRef>
          </c:val>
          <c:extLst>
            <c:ext xmlns:c16="http://schemas.microsoft.com/office/drawing/2014/chart" uri="{C3380CC4-5D6E-409C-BE32-E72D297353CC}">
              <c16:uniqueId val="{00000003-7BE8-4198-B905-7193EF96DAD3}"/>
            </c:ext>
          </c:extLst>
        </c:ser>
        <c:ser>
          <c:idx val="4"/>
          <c:order val="4"/>
          <c:tx>
            <c:strRef>
              <c:f>FED!$B$11</c:f>
              <c:strCache>
                <c:ptCount val="1"/>
                <c:pt idx="0">
                  <c:v>Biofuels</c:v>
                </c:pt>
              </c:strCache>
            </c:strRef>
          </c:tx>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FED!$C$11:$I$11</c:f>
              <c:numCache>
                <c:formatCode>_-* #,##0_-;\-* #,##0_-;_-* "-"??_-;_-@_-</c:formatCode>
                <c:ptCount val="7"/>
                <c:pt idx="0">
                  <c:v>1030.6822751873965</c:v>
                </c:pt>
                <c:pt idx="1">
                  <c:v>780.18165262866864</c:v>
                </c:pt>
                <c:pt idx="2">
                  <c:v>612.7918306953427</c:v>
                </c:pt>
                <c:pt idx="3">
                  <c:v>553.40272871702882</c:v>
                </c:pt>
                <c:pt idx="4">
                  <c:v>412.36075627127883</c:v>
                </c:pt>
                <c:pt idx="5">
                  <c:v>620.77481182202496</c:v>
                </c:pt>
                <c:pt idx="6">
                  <c:v>568.52530453353052</c:v>
                </c:pt>
              </c:numCache>
            </c:numRef>
          </c:val>
          <c:extLst>
            <c:ext xmlns:c16="http://schemas.microsoft.com/office/drawing/2014/chart" uri="{C3380CC4-5D6E-409C-BE32-E72D297353CC}">
              <c16:uniqueId val="{00000004-7BE8-4198-B905-7193EF96DAD3}"/>
            </c:ext>
          </c:extLst>
        </c:ser>
        <c:ser>
          <c:idx val="5"/>
          <c:order val="5"/>
          <c:tx>
            <c:strRef>
              <c:f>FED!$B$12</c:f>
              <c:strCache>
                <c:ptCount val="1"/>
                <c:pt idx="0">
                  <c:v>Solids</c:v>
                </c:pt>
              </c:strCache>
            </c:strRef>
          </c:tx>
          <c:spPr>
            <a:solidFill>
              <a:schemeClr val="bg1">
                <a:lumMod val="65000"/>
              </a:schemeClr>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FED!$C$12:$I$12</c:f>
              <c:numCache>
                <c:formatCode>_-* #,##0_-;\-* #,##0_-;_-* "-"??_-;_-@_-</c:formatCode>
                <c:ptCount val="7"/>
                <c:pt idx="0">
                  <c:v>361.34809250239215</c:v>
                </c:pt>
                <c:pt idx="1">
                  <c:v>149.69436621780807</c:v>
                </c:pt>
                <c:pt idx="2">
                  <c:v>47.164529132079572</c:v>
                </c:pt>
                <c:pt idx="3">
                  <c:v>60.832751920755086</c:v>
                </c:pt>
                <c:pt idx="4">
                  <c:v>33.366545949399701</c:v>
                </c:pt>
                <c:pt idx="5">
                  <c:v>89.069081432739537</c:v>
                </c:pt>
                <c:pt idx="6">
                  <c:v>31.93988097119189</c:v>
                </c:pt>
              </c:numCache>
            </c:numRef>
          </c:val>
          <c:extLst>
            <c:ext xmlns:c16="http://schemas.microsoft.com/office/drawing/2014/chart" uri="{C3380CC4-5D6E-409C-BE32-E72D297353CC}">
              <c16:uniqueId val="{00000005-7BE8-4198-B905-7193EF96DAD3}"/>
            </c:ext>
          </c:extLst>
        </c:ser>
        <c:ser>
          <c:idx val="6"/>
          <c:order val="6"/>
          <c:tx>
            <c:strRef>
              <c:f>FED!$B$13</c:f>
              <c:strCache>
                <c:ptCount val="1"/>
                <c:pt idx="0">
                  <c:v>Liquids</c:v>
                </c:pt>
              </c:strCache>
            </c:strRef>
          </c:tx>
          <c:spPr>
            <a:solidFill>
              <a:srgbClr val="92D050"/>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FED!$C$13:$I$13</c:f>
              <c:numCache>
                <c:formatCode>_-* #,##0_-;\-* #,##0_-;_-* "-"??_-;_-@_-</c:formatCode>
                <c:ptCount val="7"/>
                <c:pt idx="0">
                  <c:v>5150.0383236637654</c:v>
                </c:pt>
                <c:pt idx="1">
                  <c:v>3619.7632975805259</c:v>
                </c:pt>
                <c:pt idx="2">
                  <c:v>2650.2243270212857</c:v>
                </c:pt>
                <c:pt idx="3">
                  <c:v>2005.4222029037633</c:v>
                </c:pt>
                <c:pt idx="4">
                  <c:v>1000.1943542238032</c:v>
                </c:pt>
                <c:pt idx="5">
                  <c:v>2169.4767124451619</c:v>
                </c:pt>
                <c:pt idx="6">
                  <c:v>1026.6805899715573</c:v>
                </c:pt>
              </c:numCache>
            </c:numRef>
          </c:val>
          <c:extLst>
            <c:ext xmlns:c16="http://schemas.microsoft.com/office/drawing/2014/chart" uri="{C3380CC4-5D6E-409C-BE32-E72D297353CC}">
              <c16:uniqueId val="{00000006-7BE8-4198-B905-7193EF96DAD3}"/>
            </c:ext>
          </c:extLst>
        </c:ser>
        <c:ser>
          <c:idx val="7"/>
          <c:order val="7"/>
          <c:tx>
            <c:strRef>
              <c:f>FED!$B$14</c:f>
              <c:strCache>
                <c:ptCount val="1"/>
                <c:pt idx="0">
                  <c:v>Others</c:v>
                </c:pt>
              </c:strCache>
            </c:strRef>
          </c:tx>
          <c:spPr>
            <a:solidFill>
              <a:schemeClr val="bg1">
                <a:lumMod val="85000"/>
              </a:schemeClr>
            </a:solidFill>
          </c:spPr>
          <c:invertIfNegative val="0"/>
          <c:cat>
            <c:multiLvlStrRef>
              <c:f>FED!$C$5:$I$6</c:f>
              <c:multiLvlStrCache>
                <c:ptCount val="7"/>
                <c:lvl>
                  <c:pt idx="0">
                    <c:v>2019</c:v>
                  </c:pt>
                  <c:pt idx="1">
                    <c:v>2030</c:v>
                  </c:pt>
                  <c:pt idx="2">
                    <c:v>2040</c:v>
                  </c:pt>
                  <c:pt idx="3">
                    <c:v>2040</c:v>
                  </c:pt>
                  <c:pt idx="4">
                    <c:v>2050</c:v>
                  </c:pt>
                  <c:pt idx="5">
                    <c:v>2040</c:v>
                  </c:pt>
                  <c:pt idx="6">
                    <c:v>2050</c:v>
                  </c:pt>
                </c:lvl>
                <c:lvl>
                  <c:pt idx="0">
                    <c:v>Reference</c:v>
                  </c:pt>
                  <c:pt idx="1">
                    <c:v>National Trends +</c:v>
                  </c:pt>
                  <c:pt idx="3">
                    <c:v>Distributed Energy</c:v>
                  </c:pt>
                  <c:pt idx="5">
                    <c:v>Global Ambition</c:v>
                  </c:pt>
                </c:lvl>
              </c:multiLvlStrCache>
            </c:multiLvlStrRef>
          </c:cat>
          <c:val>
            <c:numRef>
              <c:f>FED!$C$14:$I$14</c:f>
              <c:numCache>
                <c:formatCode>_-* #,##0_-;\-* #,##0_-;_-* "-"??_-;_-@_-</c:formatCode>
                <c:ptCount val="7"/>
                <c:pt idx="0">
                  <c:v>0</c:v>
                </c:pt>
                <c:pt idx="1">
                  <c:v>68.360544776378347</c:v>
                </c:pt>
                <c:pt idx="2">
                  <c:v>90.416139903206897</c:v>
                </c:pt>
                <c:pt idx="3">
                  <c:v>0</c:v>
                </c:pt>
                <c:pt idx="4">
                  <c:v>0</c:v>
                </c:pt>
                <c:pt idx="5">
                  <c:v>0</c:v>
                </c:pt>
                <c:pt idx="6">
                  <c:v>0</c:v>
                </c:pt>
              </c:numCache>
            </c:numRef>
          </c:val>
          <c:extLst>
            <c:ext xmlns:c16="http://schemas.microsoft.com/office/drawing/2014/chart" uri="{C3380CC4-5D6E-409C-BE32-E72D297353CC}">
              <c16:uniqueId val="{00000007-7BE8-4198-B905-7193EF96DAD3}"/>
            </c:ext>
          </c:extLst>
        </c:ser>
        <c:dLbls>
          <c:showLegendKey val="0"/>
          <c:showVal val="0"/>
          <c:showCatName val="0"/>
          <c:showSerName val="0"/>
          <c:showPercent val="0"/>
          <c:showBubbleSize val="0"/>
        </c:dLbls>
        <c:gapWidth val="150"/>
        <c:overlap val="100"/>
        <c:axId val="352267184"/>
        <c:axId val="408356280"/>
      </c:barChart>
      <c:catAx>
        <c:axId val="352267184"/>
        <c:scaling>
          <c:orientation val="minMax"/>
        </c:scaling>
        <c:delete val="0"/>
        <c:axPos val="b"/>
        <c:numFmt formatCode="General" sourceLinked="0"/>
        <c:majorTickMark val="out"/>
        <c:minorTickMark val="none"/>
        <c:tickLblPos val="nextTo"/>
        <c:crossAx val="408356280"/>
        <c:crosses val="autoZero"/>
        <c:auto val="1"/>
        <c:lblAlgn val="ctr"/>
        <c:lblOffset val="100"/>
        <c:noMultiLvlLbl val="0"/>
      </c:catAx>
      <c:valAx>
        <c:axId val="408356280"/>
        <c:scaling>
          <c:orientation val="minMax"/>
        </c:scaling>
        <c:delete val="0"/>
        <c:axPos val="l"/>
        <c:majorGridlines/>
        <c:title>
          <c:tx>
            <c:rich>
              <a:bodyPr/>
              <a:lstStyle/>
              <a:p>
                <a:pPr>
                  <a:defRPr/>
                </a:pPr>
                <a:r>
                  <a:rPr lang="en-US"/>
                  <a:t>TWh</a:t>
                </a:r>
              </a:p>
            </c:rich>
          </c:tx>
          <c:overlay val="0"/>
        </c:title>
        <c:numFmt formatCode="#,##0" sourceLinked="0"/>
        <c:majorTickMark val="out"/>
        <c:minorTickMark val="none"/>
        <c:tickLblPos val="nextTo"/>
        <c:crossAx val="352267184"/>
        <c:crosses val="autoZero"/>
        <c:crossBetween val="between"/>
      </c:valAx>
    </c:plotArea>
    <c:legend>
      <c:legendPos val="r"/>
      <c:layout>
        <c:manualLayout>
          <c:xMode val="edge"/>
          <c:yMode val="edge"/>
          <c:x val="7.9933343902481982E-2"/>
          <c:y val="0.88215138754711309"/>
          <c:w val="0.90362373830787934"/>
          <c:h val="0.10201330365439028"/>
        </c:manualLayout>
      </c:layout>
      <c:overlay val="0"/>
    </c:legend>
    <c:plotVisOnly val="1"/>
    <c:dispBlanksAs val="gap"/>
    <c:showDLblsOverMax val="0"/>
  </c:chart>
  <c:txPr>
    <a:bodyPr/>
    <a:lstStyle/>
    <a:p>
      <a:pPr>
        <a:defRPr sz="10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Final Energy Consumption (FEC)* Benchmark </a:t>
            </a:r>
            <a:r>
              <a:rPr lang="en-GB" baseline="0"/>
              <a:t> - TWh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FEC!$B$8</c:f>
              <c:strCache>
                <c:ptCount val="1"/>
                <c:pt idx="0">
                  <c:v>Electricity</c:v>
                </c:pt>
              </c:strCache>
            </c:strRef>
          </c:tx>
          <c:spPr>
            <a:solidFill>
              <a:schemeClr val="accent1"/>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FEC!$C$8:$Q$8</c:f>
              <c:numCache>
                <c:formatCode>0</c:formatCode>
                <c:ptCount val="15"/>
                <c:pt idx="0">
                  <c:v>2449.9644607499999</c:v>
                </c:pt>
                <c:pt idx="1">
                  <c:v>2478.84554213</c:v>
                </c:pt>
                <c:pt idx="2">
                  <c:v>2951.6553410561783</c:v>
                </c:pt>
                <c:pt idx="3">
                  <c:v>2951.6553410561783</c:v>
                </c:pt>
                <c:pt idx="4">
                  <c:v>2792.5150745945516</c:v>
                </c:pt>
                <c:pt idx="5">
                  <c:v>2786.51566355977</c:v>
                </c:pt>
                <c:pt idx="6">
                  <c:v>2740.6368620166072</c:v>
                </c:pt>
                <c:pt idx="7">
                  <c:v>3437.5486267987908</c:v>
                </c:pt>
                <c:pt idx="8">
                  <c:v>3437.5486267987908</c:v>
                </c:pt>
                <c:pt idx="9">
                  <c:v>3634.5077137130615</c:v>
                </c:pt>
                <c:pt idx="10">
                  <c:v>3237.2654877943532</c:v>
                </c:pt>
                <c:pt idx="11">
                  <c:v>3333.9052601650737</c:v>
                </c:pt>
                <c:pt idx="12">
                  <c:v>3931.8059605908993</c:v>
                </c:pt>
                <c:pt idx="13">
                  <c:v>3484.8668447222826</c:v>
                </c:pt>
                <c:pt idx="14">
                  <c:v>3694.9163293378797</c:v>
                </c:pt>
              </c:numCache>
            </c:numRef>
          </c:val>
          <c:extLst>
            <c:ext xmlns:c16="http://schemas.microsoft.com/office/drawing/2014/chart" uri="{C3380CC4-5D6E-409C-BE32-E72D297353CC}">
              <c16:uniqueId val="{00000000-1859-4559-A32E-4A5FCE3DEE2B}"/>
            </c:ext>
          </c:extLst>
        </c:ser>
        <c:ser>
          <c:idx val="1"/>
          <c:order val="1"/>
          <c:tx>
            <c:strRef>
              <c:f>FEC!$B$9</c:f>
              <c:strCache>
                <c:ptCount val="1"/>
                <c:pt idx="0">
                  <c:v>Hydrogen</c:v>
                </c:pt>
              </c:strCache>
            </c:strRef>
          </c:tx>
          <c:spPr>
            <a:solidFill>
              <a:schemeClr val="accent2"/>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FEC!$C$9:$Q$9</c:f>
              <c:numCache>
                <c:formatCode>0</c:formatCode>
                <c:ptCount val="15"/>
                <c:pt idx="0">
                  <c:v>0</c:v>
                </c:pt>
                <c:pt idx="1">
                  <c:v>0</c:v>
                </c:pt>
                <c:pt idx="2">
                  <c:v>251.07841500000001</c:v>
                </c:pt>
                <c:pt idx="3">
                  <c:v>251.07841500000001</c:v>
                </c:pt>
                <c:pt idx="4">
                  <c:v>38.221073833545674</c:v>
                </c:pt>
                <c:pt idx="5">
                  <c:v>54.575632674521344</c:v>
                </c:pt>
                <c:pt idx="6">
                  <c:v>242.49319141763564</c:v>
                </c:pt>
                <c:pt idx="7">
                  <c:v>633.11094183366208</c:v>
                </c:pt>
                <c:pt idx="8">
                  <c:v>633.11094183366208</c:v>
                </c:pt>
                <c:pt idx="9">
                  <c:v>592.22415715831301</c:v>
                </c:pt>
                <c:pt idx="10">
                  <c:v>1195.0054842565601</c:v>
                </c:pt>
                <c:pt idx="11">
                  <c:v>395.57934870801506</c:v>
                </c:pt>
                <c:pt idx="12">
                  <c:v>823.86093037915452</c:v>
                </c:pt>
                <c:pt idx="13">
                  <c:v>1604.9839420886699</c:v>
                </c:pt>
                <c:pt idx="14">
                  <c:v>660.93741152970154</c:v>
                </c:pt>
              </c:numCache>
            </c:numRef>
          </c:val>
          <c:extLst>
            <c:ext xmlns:c16="http://schemas.microsoft.com/office/drawing/2014/chart" uri="{C3380CC4-5D6E-409C-BE32-E72D297353CC}">
              <c16:uniqueId val="{00000001-1859-4559-A32E-4A5FCE3DEE2B}"/>
            </c:ext>
          </c:extLst>
        </c:ser>
        <c:ser>
          <c:idx val="2"/>
          <c:order val="2"/>
          <c:tx>
            <c:strRef>
              <c:f>FEC!$B$10</c:f>
              <c:strCache>
                <c:ptCount val="1"/>
                <c:pt idx="0">
                  <c:v>Methane</c:v>
                </c:pt>
              </c:strCache>
            </c:strRef>
          </c:tx>
          <c:spPr>
            <a:solidFill>
              <a:schemeClr val="accent3"/>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FEC!$C$10:$Q$10</c:f>
              <c:numCache>
                <c:formatCode>0</c:formatCode>
                <c:ptCount val="15"/>
                <c:pt idx="0">
                  <c:v>2294.9582855899998</c:v>
                </c:pt>
                <c:pt idx="1">
                  <c:v>2368.8223345400002</c:v>
                </c:pt>
                <c:pt idx="2">
                  <c:v>1720.0294664691564</c:v>
                </c:pt>
                <c:pt idx="3">
                  <c:v>1720.0294664691564</c:v>
                </c:pt>
                <c:pt idx="4">
                  <c:v>1185.9367054662382</c:v>
                </c:pt>
                <c:pt idx="5">
                  <c:v>1643.1242858643345</c:v>
                </c:pt>
                <c:pt idx="6">
                  <c:v>875.43194194347177</c:v>
                </c:pt>
                <c:pt idx="7">
                  <c:v>966.71348351992413</c:v>
                </c:pt>
                <c:pt idx="8">
                  <c:v>966.71348351992413</c:v>
                </c:pt>
                <c:pt idx="9">
                  <c:v>1122.2783079917904</c:v>
                </c:pt>
                <c:pt idx="10">
                  <c:v>1397.0235501837747</c:v>
                </c:pt>
                <c:pt idx="11">
                  <c:v>466.35089800851716</c:v>
                </c:pt>
                <c:pt idx="12">
                  <c:v>629.06855657794563</c:v>
                </c:pt>
                <c:pt idx="13">
                  <c:v>801.06645734474375</c:v>
                </c:pt>
                <c:pt idx="14">
                  <c:v>6.5440735169945761</c:v>
                </c:pt>
              </c:numCache>
            </c:numRef>
          </c:val>
          <c:extLst>
            <c:ext xmlns:c16="http://schemas.microsoft.com/office/drawing/2014/chart" uri="{C3380CC4-5D6E-409C-BE32-E72D297353CC}">
              <c16:uniqueId val="{00000002-1859-4559-A32E-4A5FCE3DEE2B}"/>
            </c:ext>
          </c:extLst>
        </c:ser>
        <c:ser>
          <c:idx val="3"/>
          <c:order val="3"/>
          <c:tx>
            <c:strRef>
              <c:f>FEC!$B$11</c:f>
              <c:strCache>
                <c:ptCount val="1"/>
                <c:pt idx="0">
                  <c:v>Liquids</c:v>
                </c:pt>
              </c:strCache>
            </c:strRef>
          </c:tx>
          <c:spPr>
            <a:solidFill>
              <a:schemeClr val="accent4"/>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FEC!$C$11:$Q$11</c:f>
              <c:numCache>
                <c:formatCode>0</c:formatCode>
                <c:ptCount val="15"/>
                <c:pt idx="0">
                  <c:v>4339.5783556200004</c:v>
                </c:pt>
                <c:pt idx="1">
                  <c:v>4505.6569188000003</c:v>
                </c:pt>
                <c:pt idx="2">
                  <c:v>2816.32213</c:v>
                </c:pt>
                <c:pt idx="3">
                  <c:v>2051.1656733254326</c:v>
                </c:pt>
                <c:pt idx="4">
                  <c:v>3249.622672770076</c:v>
                </c:pt>
                <c:pt idx="5">
                  <c:v>2972.7482286382447</c:v>
                </c:pt>
                <c:pt idx="6">
                  <c:v>3037.2463973543199</c:v>
                </c:pt>
                <c:pt idx="7">
                  <c:v>1122.1211075631352</c:v>
                </c:pt>
                <c:pt idx="8">
                  <c:v>1077.4156665799978</c:v>
                </c:pt>
                <c:pt idx="9">
                  <c:v>1343.6497954152828</c:v>
                </c:pt>
                <c:pt idx="10">
                  <c:v>1526.8610027947327</c:v>
                </c:pt>
                <c:pt idx="11">
                  <c:v>1138.0736114901047</c:v>
                </c:pt>
                <c:pt idx="12">
                  <c:v>511.14155872897658</c:v>
                </c:pt>
                <c:pt idx="13">
                  <c:v>588.29644832697784</c:v>
                </c:pt>
                <c:pt idx="14">
                  <c:v>356.11664271640109</c:v>
                </c:pt>
              </c:numCache>
            </c:numRef>
          </c:val>
          <c:extLst>
            <c:ext xmlns:c16="http://schemas.microsoft.com/office/drawing/2014/chart" uri="{C3380CC4-5D6E-409C-BE32-E72D297353CC}">
              <c16:uniqueId val="{00000003-1859-4559-A32E-4A5FCE3DEE2B}"/>
            </c:ext>
          </c:extLst>
        </c:ser>
        <c:ser>
          <c:idx val="4"/>
          <c:order val="4"/>
          <c:tx>
            <c:strRef>
              <c:f>FEC!$B$12</c:f>
              <c:strCache>
                <c:ptCount val="1"/>
                <c:pt idx="0">
                  <c:v>Renewables</c:v>
                </c:pt>
              </c:strCache>
            </c:strRef>
          </c:tx>
          <c:spPr>
            <a:solidFill>
              <a:schemeClr val="accent5"/>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FEC!$C$12:$Q$12</c:f>
              <c:numCache>
                <c:formatCode>0</c:formatCode>
                <c:ptCount val="15"/>
                <c:pt idx="0">
                  <c:v>1085.20535995</c:v>
                </c:pt>
                <c:pt idx="1">
                  <c:v>1265.7899872400001</c:v>
                </c:pt>
                <c:pt idx="2">
                  <c:v>1298.5761466989277</c:v>
                </c:pt>
                <c:pt idx="3">
                  <c:v>1298.5761466989277</c:v>
                </c:pt>
                <c:pt idx="4">
                  <c:v>977.34338871910074</c:v>
                </c:pt>
                <c:pt idx="5">
                  <c:v>1030.4902561689591</c:v>
                </c:pt>
                <c:pt idx="6">
                  <c:v>1140.3945385685388</c:v>
                </c:pt>
                <c:pt idx="7">
                  <c:v>1254.2442668730091</c:v>
                </c:pt>
                <c:pt idx="8">
                  <c:v>1254.2442668730091</c:v>
                </c:pt>
                <c:pt idx="9">
                  <c:v>464.79053167790607</c:v>
                </c:pt>
                <c:pt idx="10">
                  <c:v>538.70138259396992</c:v>
                </c:pt>
                <c:pt idx="11">
                  <c:v>1080.288380608808</c:v>
                </c:pt>
                <c:pt idx="12">
                  <c:v>291.18841216917275</c:v>
                </c:pt>
                <c:pt idx="13">
                  <c:v>432.31766318857439</c:v>
                </c:pt>
                <c:pt idx="14">
                  <c:v>920.60927026542629</c:v>
                </c:pt>
              </c:numCache>
            </c:numRef>
          </c:val>
          <c:extLst>
            <c:ext xmlns:c16="http://schemas.microsoft.com/office/drawing/2014/chart" uri="{C3380CC4-5D6E-409C-BE32-E72D297353CC}">
              <c16:uniqueId val="{00000004-1859-4559-A32E-4A5FCE3DEE2B}"/>
            </c:ext>
          </c:extLst>
        </c:ser>
        <c:ser>
          <c:idx val="5"/>
          <c:order val="5"/>
          <c:tx>
            <c:strRef>
              <c:f>FEC!$B$13</c:f>
              <c:strCache>
                <c:ptCount val="1"/>
                <c:pt idx="0">
                  <c:v>Solid</c:v>
                </c:pt>
              </c:strCache>
            </c:strRef>
          </c:tx>
          <c:spPr>
            <a:solidFill>
              <a:schemeClr val="accent6"/>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FEC!$C$13:$Q$13</c:f>
              <c:numCache>
                <c:formatCode>0</c:formatCode>
                <c:ptCount val="15"/>
                <c:pt idx="0">
                  <c:v>278.85992994000003</c:v>
                </c:pt>
                <c:pt idx="1">
                  <c:v>235.71456052000008</c:v>
                </c:pt>
                <c:pt idx="2">
                  <c:v>210.47896</c:v>
                </c:pt>
                <c:pt idx="3">
                  <c:v>132.94683779818163</c:v>
                </c:pt>
                <c:pt idx="4">
                  <c:v>150.51010147375723</c:v>
                </c:pt>
                <c:pt idx="5">
                  <c:v>113.5374073904318</c:v>
                </c:pt>
                <c:pt idx="6">
                  <c:v>154.57208177434478</c:v>
                </c:pt>
                <c:pt idx="7">
                  <c:v>36.77510415505791</c:v>
                </c:pt>
                <c:pt idx="8">
                  <c:v>35.14694898267576</c:v>
                </c:pt>
                <c:pt idx="9">
                  <c:v>59.792799192945374</c:v>
                </c:pt>
                <c:pt idx="10">
                  <c:v>84.422526158883116</c:v>
                </c:pt>
                <c:pt idx="11">
                  <c:v>22.470358603910377</c:v>
                </c:pt>
                <c:pt idx="12">
                  <c:v>32.626408351732394</c:v>
                </c:pt>
                <c:pt idx="13">
                  <c:v>31.161899515716158</c:v>
                </c:pt>
                <c:pt idx="14">
                  <c:v>1.6917680354530773</c:v>
                </c:pt>
              </c:numCache>
            </c:numRef>
          </c:val>
          <c:extLst>
            <c:ext xmlns:c16="http://schemas.microsoft.com/office/drawing/2014/chart" uri="{C3380CC4-5D6E-409C-BE32-E72D297353CC}">
              <c16:uniqueId val="{00000005-1859-4559-A32E-4A5FCE3DEE2B}"/>
            </c:ext>
          </c:extLst>
        </c:ser>
        <c:ser>
          <c:idx val="6"/>
          <c:order val="6"/>
          <c:tx>
            <c:strRef>
              <c:f>FEC!$B$14</c:f>
              <c:strCache>
                <c:ptCount val="1"/>
                <c:pt idx="0">
                  <c:v>Synthetic fuels</c:v>
                </c:pt>
              </c:strCache>
            </c:strRef>
          </c:tx>
          <c:spPr>
            <a:solidFill>
              <a:schemeClr val="accent1">
                <a:lumMod val="60000"/>
              </a:schemeClr>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FEC!$C$14:$Q$14</c:f>
              <c:numCache>
                <c:formatCode>0</c:formatCode>
                <c:ptCount val="15"/>
                <c:pt idx="0">
                  <c:v>0</c:v>
                </c:pt>
                <c:pt idx="1">
                  <c:v>0</c:v>
                </c:pt>
                <c:pt idx="2">
                  <c:v>39.309730000000002</c:v>
                </c:pt>
                <c:pt idx="3">
                  <c:v>39.309730000000002</c:v>
                </c:pt>
                <c:pt idx="4">
                  <c:v>8.09874545461075</c:v>
                </c:pt>
                <c:pt idx="5">
                  <c:v>42.621472174956054</c:v>
                </c:pt>
                <c:pt idx="6">
                  <c:v>40.642184163780939</c:v>
                </c:pt>
                <c:pt idx="7">
                  <c:v>328.32085069363035</c:v>
                </c:pt>
                <c:pt idx="8">
                  <c:v>328.32085069363035</c:v>
                </c:pt>
                <c:pt idx="11">
                  <c:v>160.30327991097869</c:v>
                </c:pt>
                <c:pt idx="14">
                  <c:v>449.43230971679208</c:v>
                </c:pt>
              </c:numCache>
            </c:numRef>
          </c:val>
          <c:extLst>
            <c:ext xmlns:c16="http://schemas.microsoft.com/office/drawing/2014/chart" uri="{C3380CC4-5D6E-409C-BE32-E72D297353CC}">
              <c16:uniqueId val="{00000006-1859-4559-A32E-4A5FCE3DEE2B}"/>
            </c:ext>
          </c:extLst>
        </c:ser>
        <c:ser>
          <c:idx val="7"/>
          <c:order val="7"/>
          <c:tx>
            <c:strRef>
              <c:f>FEC!$B$15</c:f>
              <c:strCache>
                <c:ptCount val="1"/>
                <c:pt idx="0">
                  <c:v>District Heating</c:v>
                </c:pt>
              </c:strCache>
            </c:strRef>
          </c:tx>
          <c:spPr>
            <a:solidFill>
              <a:schemeClr val="accent2">
                <a:lumMod val="60000"/>
              </a:schemeClr>
            </a:solidFill>
            <a:ln>
              <a:noFill/>
            </a:ln>
            <a:effectLst/>
          </c:spPr>
          <c:invertIfNegative val="0"/>
          <c:cat>
            <c:multiLvlStrRef>
              <c:f>FEC!$C$5:$Q$7</c:f>
              <c:multiLvlStrCache>
                <c:ptCount val="15"/>
                <c:lvl>
                  <c:pt idx="0">
                    <c:v>EC IA</c:v>
                  </c:pt>
                  <c:pt idx="1">
                    <c:v>EC IA</c:v>
                  </c:pt>
                  <c:pt idx="2">
                    <c:v>TYNDP NT</c:v>
                  </c:pt>
                  <c:pt idx="3">
                    <c:v>TYNDP NT+</c:v>
                  </c:pt>
                  <c:pt idx="4">
                    <c:v>EC IA</c:v>
                  </c:pt>
                  <c:pt idx="5">
                    <c:v>EC FF55</c:v>
                  </c:pt>
                  <c:pt idx="6">
                    <c:v>EC RePowerEU</c:v>
                  </c:pt>
                  <c:pt idx="7">
                    <c:v>TYNDP NT</c:v>
                  </c:pt>
                  <c:pt idx="8">
                    <c:v>TYNDP NT+</c:v>
                  </c:pt>
                  <c:pt idx="9">
                    <c:v>TYNDP DE</c:v>
                  </c:pt>
                  <c:pt idx="10">
                    <c:v>TYNDP GA</c:v>
                  </c:pt>
                  <c:pt idx="11">
                    <c:v>EC IA S3</c:v>
                  </c:pt>
                  <c:pt idx="12">
                    <c:v>TYNDP DE</c:v>
                  </c:pt>
                  <c:pt idx="13">
                    <c:v>TYNDP GA</c:v>
                  </c:pt>
                  <c:pt idx="14">
                    <c:v>EC IA S3</c:v>
                  </c:pt>
                </c:lvl>
                <c:lvl>
                  <c:pt idx="0">
                    <c:v>2015</c:v>
                  </c:pt>
                  <c:pt idx="1">
                    <c:v>2019</c:v>
                  </c:pt>
                  <c:pt idx="2">
                    <c:v>2030</c:v>
                  </c:pt>
                  <c:pt idx="7">
                    <c:v>2040</c:v>
                  </c:pt>
                  <c:pt idx="12">
                    <c:v>2050</c:v>
                  </c:pt>
                </c:lvl>
                <c:lvl/>
              </c:multiLvlStrCache>
            </c:multiLvlStrRef>
          </c:cat>
          <c:val>
            <c:numRef>
              <c:f>FEC!$C$15:$Q$15</c:f>
              <c:numCache>
                <c:formatCode>0</c:formatCode>
                <c:ptCount val="15"/>
                <c:pt idx="0">
                  <c:v>524.94703160000006</c:v>
                </c:pt>
                <c:pt idx="1">
                  <c:v>534.41049053000006</c:v>
                </c:pt>
                <c:pt idx="2">
                  <c:v>373</c:v>
                </c:pt>
                <c:pt idx="3">
                  <c:v>373.42403879283177</c:v>
                </c:pt>
                <c:pt idx="4">
                  <c:v>474.35339125052542</c:v>
                </c:pt>
                <c:pt idx="5">
                  <c:v>0</c:v>
                </c:pt>
                <c:pt idx="6">
                  <c:v>0</c:v>
                </c:pt>
                <c:pt idx="7">
                  <c:v>493</c:v>
                </c:pt>
                <c:pt idx="8">
                  <c:v>493.28427777947201</c:v>
                </c:pt>
                <c:pt idx="9">
                  <c:v>664.71798330174556</c:v>
                </c:pt>
                <c:pt idx="10">
                  <c:v>606.55412652022824</c:v>
                </c:pt>
                <c:pt idx="11">
                  <c:v>429.21120444772049</c:v>
                </c:pt>
                <c:pt idx="12">
                  <c:v>597.25220359032585</c:v>
                </c:pt>
                <c:pt idx="13">
                  <c:v>515.80499883747063</c:v>
                </c:pt>
                <c:pt idx="14">
                  <c:v>359.32195205382345</c:v>
                </c:pt>
              </c:numCache>
            </c:numRef>
          </c:val>
          <c:extLst>
            <c:ext xmlns:c16="http://schemas.microsoft.com/office/drawing/2014/chart" uri="{C3380CC4-5D6E-409C-BE32-E72D297353CC}">
              <c16:uniqueId val="{00000007-1859-4559-A32E-4A5FCE3DEE2B}"/>
            </c:ext>
          </c:extLst>
        </c:ser>
        <c:dLbls>
          <c:showLegendKey val="0"/>
          <c:showVal val="0"/>
          <c:showCatName val="0"/>
          <c:showSerName val="0"/>
          <c:showPercent val="0"/>
          <c:showBubbleSize val="0"/>
        </c:dLbls>
        <c:gapWidth val="150"/>
        <c:overlap val="100"/>
        <c:axId val="1271520671"/>
        <c:axId val="1281963727"/>
      </c:barChart>
      <c:catAx>
        <c:axId val="127152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1963727"/>
        <c:crosses val="autoZero"/>
        <c:auto val="1"/>
        <c:lblAlgn val="ctr"/>
        <c:lblOffset val="100"/>
        <c:noMultiLvlLbl val="0"/>
      </c:catAx>
      <c:valAx>
        <c:axId val="12819637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52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'Carbon capture'!$C$65</c:f>
              <c:strCache>
                <c:ptCount val="1"/>
                <c:pt idx="0">
                  <c:v>CCS (underground storage)</c:v>
                </c:pt>
              </c:strCache>
            </c:strRef>
          </c:tx>
          <c:spPr>
            <a:solidFill>
              <a:schemeClr val="accent1">
                <a:lumMod val="50000"/>
              </a:schemeClr>
            </a:solid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capture'!$C$66:$C$70</c:f>
              <c:numCache>
                <c:formatCode>General</c:formatCode>
                <c:ptCount val="5"/>
                <c:pt idx="2" formatCode="0">
                  <c:v>242.93660992199602</c:v>
                </c:pt>
                <c:pt idx="4" formatCode="0">
                  <c:v>246.83536594863119</c:v>
                </c:pt>
              </c:numCache>
            </c:numRef>
          </c:val>
          <c:extLst>
            <c:ext xmlns:c16="http://schemas.microsoft.com/office/drawing/2014/chart" uri="{C3380CC4-5D6E-409C-BE32-E72D297353CC}">
              <c16:uniqueId val="{00000000-1462-4EC4-841E-30E098F732CE}"/>
            </c:ext>
          </c:extLst>
        </c:ser>
        <c:ser>
          <c:idx val="1"/>
          <c:order val="1"/>
          <c:tx>
            <c:strRef>
              <c:f>'Carbon capture'!$D$65</c:f>
              <c:strCache>
                <c:ptCount val="1"/>
                <c:pt idx="0">
                  <c:v>CCS (materials)</c:v>
                </c:pt>
              </c:strCache>
            </c:strRef>
          </c:tx>
          <c:spPr>
            <a:solidFill>
              <a:schemeClr val="accent1"/>
            </a:solid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capture'!$D$66:$D$70</c:f>
              <c:numCache>
                <c:formatCode>General</c:formatCode>
                <c:ptCount val="5"/>
                <c:pt idx="2" formatCode="0">
                  <c:v>0</c:v>
                </c:pt>
                <c:pt idx="4" formatCode="0">
                  <c:v>58.717697291811731</c:v>
                </c:pt>
              </c:numCache>
            </c:numRef>
          </c:val>
          <c:extLst>
            <c:ext xmlns:c16="http://schemas.microsoft.com/office/drawing/2014/chart" uri="{C3380CC4-5D6E-409C-BE32-E72D297353CC}">
              <c16:uniqueId val="{00000001-1462-4EC4-841E-30E098F732CE}"/>
            </c:ext>
          </c:extLst>
        </c:ser>
        <c:ser>
          <c:idx val="2"/>
          <c:order val="2"/>
          <c:tx>
            <c:strRef>
              <c:f>'Carbon capture'!$E$65</c:f>
              <c:strCache>
                <c:ptCount val="1"/>
                <c:pt idx="0">
                  <c:v>CCU (synthetic fuels)</c:v>
                </c:pt>
              </c:strCache>
            </c:strRef>
          </c:tx>
          <c:spPr>
            <a:solidFill>
              <a:schemeClr val="accent1">
                <a:lumMod val="40000"/>
                <a:lumOff val="60000"/>
              </a:schemeClr>
            </a:solid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capture'!$E$66:$E$70</c:f>
              <c:numCache>
                <c:formatCode>General</c:formatCode>
                <c:ptCount val="5"/>
                <c:pt idx="2" formatCode="0">
                  <c:v>100.77812108703191</c:v>
                </c:pt>
                <c:pt idx="4" formatCode="0">
                  <c:v>146.74554615449003</c:v>
                </c:pt>
              </c:numCache>
            </c:numRef>
          </c:val>
          <c:extLst>
            <c:ext xmlns:c16="http://schemas.microsoft.com/office/drawing/2014/chart" uri="{C3380CC4-5D6E-409C-BE32-E72D297353CC}">
              <c16:uniqueId val="{00000002-1462-4EC4-841E-30E098F732CE}"/>
            </c:ext>
          </c:extLst>
        </c:ser>
        <c:ser>
          <c:idx val="3"/>
          <c:order val="3"/>
          <c:tx>
            <c:strRef>
              <c:f>'Carbon capture'!$F$65</c:f>
              <c:strCache>
                <c:ptCount val="1"/>
                <c:pt idx="0">
                  <c:v>Labelled as CCS (Fig 45)</c:v>
                </c:pt>
              </c:strCache>
            </c:strRef>
          </c:tx>
          <c:spPr>
            <a:solidFill>
              <a:schemeClr val="accent2"/>
            </a:solid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capture'!$F$66:$F$70</c:f>
              <c:numCache>
                <c:formatCode>0</c:formatCode>
                <c:ptCount val="5"/>
                <c:pt idx="0">
                  <c:v>344</c:v>
                </c:pt>
                <c:pt idx="1">
                  <c:v>344</c:v>
                </c:pt>
                <c:pt idx="3">
                  <c:v>452</c:v>
                </c:pt>
              </c:numCache>
            </c:numRef>
          </c:val>
          <c:extLst>
            <c:ext xmlns:c16="http://schemas.microsoft.com/office/drawing/2014/chart" uri="{C3380CC4-5D6E-409C-BE32-E72D297353CC}">
              <c16:uniqueId val="{00000003-1462-4EC4-841E-30E098F732CE}"/>
            </c:ext>
          </c:extLst>
        </c:ser>
        <c:ser>
          <c:idx val="4"/>
          <c:order val="4"/>
          <c:tx>
            <c:strRef>
              <c:f>'Carbon capture'!$G$65</c:f>
              <c:strCache>
                <c:ptCount val="1"/>
                <c:pt idx="0">
                  <c:v>Additional CCU for synthetic fuels (Fig 39)</c:v>
                </c:pt>
              </c:strCache>
            </c:strRef>
          </c:tx>
          <c:spPr>
            <a:solidFill>
              <a:schemeClr val="accent2">
                <a:lumMod val="40000"/>
                <a:lumOff val="60000"/>
              </a:schemeClr>
            </a:solid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capture'!$G$66:$G$70</c:f>
              <c:numCache>
                <c:formatCode>0</c:formatCode>
                <c:ptCount val="5"/>
                <c:pt idx="0">
                  <c:v>100.40755</c:v>
                </c:pt>
                <c:pt idx="1">
                  <c:v>100.40755</c:v>
                </c:pt>
                <c:pt idx="3">
                  <c:v>147.97949</c:v>
                </c:pt>
              </c:numCache>
            </c:numRef>
          </c:val>
          <c:extLst>
            <c:ext xmlns:c16="http://schemas.microsoft.com/office/drawing/2014/chart" uri="{C3380CC4-5D6E-409C-BE32-E72D297353CC}">
              <c16:uniqueId val="{00000004-1462-4EC4-841E-30E098F732CE}"/>
            </c:ext>
          </c:extLst>
        </c:ser>
        <c:ser>
          <c:idx val="5"/>
          <c:order val="5"/>
          <c:tx>
            <c:strRef>
              <c:f>'Carbon capture'!$H$65</c:f>
              <c:strCache>
                <c:ptCount val="1"/>
                <c:pt idx="0">
                  <c:v>Additional CCU potential (Fig 39)</c:v>
                </c:pt>
              </c:strCache>
            </c:strRef>
          </c:tx>
          <c:spPr>
            <a:pattFill prst="wdUpDiag">
              <a:fgClr>
                <a:srgbClr val="B04545"/>
              </a:fgClr>
              <a:bgClr>
                <a:schemeClr val="bg1"/>
              </a:bgClr>
            </a:pattFill>
            <a:ln>
              <a:noFill/>
            </a:ln>
            <a:effectLst/>
          </c:spPr>
          <c:invertIfNegative val="0"/>
          <c:cat>
            <c:multiLvlStrRef>
              <c:f>'Carbon capture'!$A$66:$B$70</c:f>
              <c:multiLvlStrCache>
                <c:ptCount val="5"/>
                <c:lvl>
                  <c:pt idx="0">
                    <c:v>GA</c:v>
                  </c:pt>
                  <c:pt idx="1">
                    <c:v>NT+</c:v>
                  </c:pt>
                  <c:pt idx="2">
                    <c:v>EC S3</c:v>
                  </c:pt>
                  <c:pt idx="3">
                    <c:v>GA</c:v>
                  </c:pt>
                  <c:pt idx="4">
                    <c:v>EC S3</c:v>
                  </c:pt>
                </c:lvl>
                <c:lvl>
                  <c:pt idx="0">
                    <c:v>2040</c:v>
                  </c:pt>
                  <c:pt idx="3">
                    <c:v>2050</c:v>
                  </c:pt>
                </c:lvl>
              </c:multiLvlStrCache>
            </c:multiLvlStrRef>
          </c:cat>
          <c:val>
            <c:numRef>
              <c:f>'Carbon capture'!$H$66:$H$70</c:f>
              <c:numCache>
                <c:formatCode>0</c:formatCode>
                <c:ptCount val="5"/>
                <c:pt idx="0">
                  <c:v>43.692449999999994</c:v>
                </c:pt>
                <c:pt idx="1">
                  <c:v>43.692449999999994</c:v>
                </c:pt>
                <c:pt idx="3">
                  <c:v>74.320510000000013</c:v>
                </c:pt>
              </c:numCache>
            </c:numRef>
          </c:val>
          <c:extLst>
            <c:ext xmlns:c16="http://schemas.microsoft.com/office/drawing/2014/chart" uri="{C3380CC4-5D6E-409C-BE32-E72D297353CC}">
              <c16:uniqueId val="{00000005-1462-4EC4-841E-30E098F732CE}"/>
            </c:ext>
          </c:extLst>
        </c:ser>
        <c:dLbls>
          <c:showLegendKey val="0"/>
          <c:showVal val="0"/>
          <c:showCatName val="0"/>
          <c:showSerName val="0"/>
          <c:showPercent val="0"/>
          <c:showBubbleSize val="0"/>
        </c:dLbls>
        <c:gapWidth val="150"/>
        <c:overlap val="100"/>
        <c:axId val="1374133199"/>
        <c:axId val="1374140399"/>
      </c:barChart>
      <c:catAx>
        <c:axId val="1374133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crossAx val="1374140399"/>
        <c:crosses val="autoZero"/>
        <c:auto val="1"/>
        <c:lblAlgn val="ctr"/>
        <c:lblOffset val="100"/>
        <c:noMultiLvlLbl val="0"/>
      </c:catAx>
      <c:valAx>
        <c:axId val="1374140399"/>
        <c:scaling>
          <c:orientation val="minMax"/>
        </c:scaling>
        <c:delete val="0"/>
        <c:axPos val="l"/>
        <c:majorGridlines>
          <c:spPr>
            <a:ln w="22225" cap="rnd" cmpd="sng" algn="ctr">
              <a:solidFill>
                <a:schemeClr val="bg2">
                  <a:lumMod val="90000"/>
                </a:schemeClr>
              </a:solidFill>
              <a:prstDash val="sysDot"/>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Mt CO2</a:t>
                </a:r>
                <a:endParaRPr lang="en-DK"/>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Semibold" panose="020B0702040204020203" pitchFamily="34" charset="0"/>
                <a:ea typeface="+mn-ea"/>
                <a:cs typeface="Segoe UI Semibold" panose="020B0702040204020203" pitchFamily="34" charset="0"/>
              </a:defRPr>
            </a:pPr>
            <a:endParaRPr lang="en-US"/>
          </a:p>
        </c:txPr>
        <c:crossAx val="137413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Global Ambition </cx:v>
        </cx:txData>
      </cx:tx>
      <cx:txPr>
        <a:bodyPr spcFirstLastPara="1" vertOverflow="ellipsis" horzOverflow="overflow" wrap="square" lIns="0" tIns="0" rIns="0" bIns="0" anchor="ctr" anchorCtr="1"/>
        <a:lstStyle/>
        <a:p>
          <a:pPr algn="ctr" rtl="0">
            <a:defRPr>
              <a:latin typeface="Segoe UI Semibold" panose="020B0702040204020203" pitchFamily="34" charset="0"/>
              <a:ea typeface="Segoe UI Semibold" panose="020B0702040204020203" pitchFamily="34" charset="0"/>
              <a:cs typeface="Segoe UI Semibold" panose="020B0702040204020203" pitchFamily="34" charset="0"/>
            </a:defRPr>
          </a:pPr>
          <a:r>
            <a:rPr lang="en-US" sz="1400" b="0" i="0" u="none" strike="noStrike" baseline="0">
              <a:solidFill>
                <a:sysClr val="windowText" lastClr="000000">
                  <a:lumMod val="65000"/>
                  <a:lumOff val="35000"/>
                </a:sysClr>
              </a:solidFill>
              <a:latin typeface="Segoe UI Semibold" panose="020B0702040204020203" pitchFamily="34" charset="0"/>
              <a:cs typeface="Segoe UI Semibold" panose="020B0702040204020203" pitchFamily="34" charset="0"/>
            </a:rPr>
            <a:t>Global Ambition </a:t>
          </a:r>
        </a:p>
      </cx:txPr>
    </cx:title>
    <cx:plotArea>
      <cx:plotAreaRegion>
        <cx:series layoutId="waterfall" uniqueId="{A8BB06DE-8368-495F-A3E5-43AA49229064}">
          <cx:dataLabels pos="ctr">
            <cx:numFmt formatCode="#,##0" sourceLinked="0"/>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Segoe UI"/>
                </a:endParaRPr>
              </a:p>
            </cx:txPr>
            <cx:visibility seriesName="0" categoryName="0" value="1"/>
            <cx:separator>, </cx:separator>
          </cx:dataLabels>
          <cx:dataId val="0"/>
          <cx:layoutPr>
            <cx:subtotals>
              <cx:idx val="4"/>
              <cx:idx val="7"/>
            </cx:subtotals>
          </cx:layoutPr>
        </cx:series>
      </cx:plotAreaRegion>
      <cx:axis id="0">
        <cx:catScaling gapWidth="0.5"/>
        <cx:tickLabels/>
        <cx:txPr>
          <a:bodyPr spcFirstLastPara="1" vertOverflow="ellipsis" horzOverflow="overflow" wrap="square" lIns="0" tIns="0" rIns="0" bIns="0" anchor="ctr" anchorCtr="1"/>
          <a:lstStyle/>
          <a:p>
            <a:pPr algn="ctr" rtl="0">
              <a:defRPr sz="800"/>
            </a:pPr>
            <a:endParaRPr lang="en-US" sz="800" b="0" i="0" u="none" strike="noStrike" baseline="0">
              <a:solidFill>
                <a:sysClr val="windowText" lastClr="000000">
                  <a:lumMod val="65000"/>
                  <a:lumOff val="35000"/>
                </a:sysClr>
              </a:solidFill>
              <a:latin typeface="Segoe UI"/>
            </a:endParaRPr>
          </a:p>
        </cx:txPr>
      </cx:axis>
      <cx:axis id="1">
        <cx:valScaling/>
        <cx:title>
          <cx:tx>
            <cx:txData>
              <cx:v>Mt CO2e</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Segoe UI"/>
                </a:rPr>
                <a:t>Mt CO2e</a:t>
              </a:r>
            </a:p>
          </cx:txPr>
        </cx:title>
        <cx:majorGridlines>
          <cx:spPr>
            <a:ln w="22225" cap="rnd">
              <a:solidFill>
                <a:schemeClr val="bg2">
                  <a:lumMod val="90000"/>
                </a:schemeClr>
              </a:solidFill>
              <a:prstDash val="sysDot"/>
            </a:ln>
          </cx:spPr>
        </cx:majorGridlines>
        <cx:tickLabels/>
        <cx:numFmt formatCode="#,##0" sourceLinked="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Distributed Energy</cx:v>
        </cx:txData>
      </cx:tx>
      <cx:txPr>
        <a:bodyPr spcFirstLastPara="1" vertOverflow="ellipsis" horzOverflow="overflow" wrap="square" lIns="0" tIns="0" rIns="0" bIns="0" anchor="ctr" anchorCtr="1"/>
        <a:lstStyle/>
        <a:p>
          <a:pPr algn="ctr" rtl="0">
            <a:defRPr>
              <a:latin typeface="Segoe UI Semibold" panose="020B0702040204020203" pitchFamily="34" charset="0"/>
              <a:ea typeface="Segoe UI Semibold" panose="020B0702040204020203" pitchFamily="34" charset="0"/>
              <a:cs typeface="Segoe UI Semibold" panose="020B0702040204020203" pitchFamily="34" charset="0"/>
            </a:defRPr>
          </a:pPr>
          <a:r>
            <a:rPr lang="en-US" sz="1400" b="0" i="0" u="none" strike="noStrike" baseline="0">
              <a:solidFill>
                <a:sysClr val="windowText" lastClr="000000">
                  <a:lumMod val="65000"/>
                  <a:lumOff val="35000"/>
                </a:sysClr>
              </a:solidFill>
              <a:latin typeface="Segoe UI Semibold" panose="020B0702040204020203" pitchFamily="34" charset="0"/>
              <a:cs typeface="Segoe UI Semibold" panose="020B0702040204020203" pitchFamily="34" charset="0"/>
            </a:rPr>
            <a:t>Distributed Energy</a:t>
          </a:r>
        </a:p>
      </cx:txPr>
    </cx:title>
    <cx:plotArea>
      <cx:plotAreaRegion>
        <cx:series layoutId="waterfall" uniqueId="{93A97F02-06A3-4A09-BE15-19054C262DFB}">
          <cx:dataLabels pos="ctr">
            <cx:txPr>
              <a:bodyPr spcFirstLastPara="1" vertOverflow="ellipsis" horzOverflow="overflow" wrap="square" lIns="0" tIns="0" rIns="0" bIns="0" anchor="ctr" anchorCtr="1"/>
              <a:lstStyle/>
              <a:p>
                <a:pPr algn="ctr" rtl="0">
                  <a:defRPr b="1">
                    <a:solidFill>
                      <a:schemeClr val="bg1"/>
                    </a:solidFill>
                  </a:defRPr>
                </a:pPr>
                <a:endParaRPr lang="en-US" sz="900" b="1" i="0" u="none" strike="noStrike" baseline="0">
                  <a:solidFill>
                    <a:schemeClr val="bg1"/>
                  </a:solidFill>
                  <a:latin typeface="Segoe UI"/>
                </a:endParaRPr>
              </a:p>
            </cx:txPr>
            <cx:visibility seriesName="0" categoryName="0" value="1"/>
            <cx:separator>, </cx:separator>
          </cx:dataLabels>
          <cx:dataId val="0"/>
          <cx:layoutPr>
            <cx:visibility connectorLines="1"/>
            <cx:subtotals>
              <cx:idx val="4"/>
              <cx:idx val="7"/>
            </cx:subtotals>
          </cx:layoutPr>
        </cx:series>
      </cx:plotAreaRegion>
      <cx:axis id="0">
        <cx:catScaling gapWidth="0.5"/>
        <cx:tickLabels/>
        <cx:txPr>
          <a:bodyPr spcFirstLastPara="1" vertOverflow="ellipsis" horzOverflow="overflow" wrap="square" lIns="0" tIns="0" rIns="0" bIns="0" anchor="ctr" anchorCtr="1"/>
          <a:lstStyle/>
          <a:p>
            <a:pPr algn="ctr" rtl="0">
              <a:defRPr sz="800">
                <a:latin typeface="+mj-lt"/>
              </a:defRPr>
            </a:pPr>
            <a:endParaRPr lang="en-US" sz="800" b="0" i="0" u="none" strike="noStrike" baseline="0">
              <a:solidFill>
                <a:sysClr val="windowText" lastClr="000000">
                  <a:lumMod val="65000"/>
                  <a:lumOff val="35000"/>
                </a:sysClr>
              </a:solidFill>
              <a:latin typeface="+mj-lt"/>
            </a:endParaRPr>
          </a:p>
        </cx:txPr>
      </cx:axis>
      <cx:axis id="1">
        <cx:valScaling/>
        <cx:title>
          <cx:tx>
            <cx:txData>
              <cx:v>Mt CO2e</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Segoe UI"/>
                </a:rPr>
                <a:t>Mt CO2e</a:t>
              </a:r>
            </a:p>
          </cx:txPr>
        </cx:title>
        <cx:majorGridlines>
          <cx:spPr>
            <a:ln w="22225" cap="rnd">
              <a:solidFill>
                <a:schemeClr val="bg2">
                  <a:lumMod val="90000"/>
                </a:schemeClr>
              </a:solidFill>
              <a:prstDash val="sysDot"/>
            </a:ln>
          </cx:spPr>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2.xml"/><Relationship Id="rId4"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11</xdr:col>
      <xdr:colOff>373380</xdr:colOff>
      <xdr:row>1</xdr:row>
      <xdr:rowOff>7620</xdr:rowOff>
    </xdr:from>
    <xdr:to>
      <xdr:col>13</xdr:col>
      <xdr:colOff>434340</xdr:colOff>
      <xdr:row>4</xdr:row>
      <xdr:rowOff>97539</xdr:rowOff>
    </xdr:to>
    <xdr:pic>
      <xdr:nvPicPr>
        <xdr:cNvPr id="7" name="Picture 6">
          <a:extLst>
            <a:ext uri="{FF2B5EF4-FFF2-40B4-BE49-F238E27FC236}">
              <a16:creationId xmlns:a16="http://schemas.microsoft.com/office/drawing/2014/main" id="{125C3A58-C889-4110-BA26-E38038EF8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0860" y="198120"/>
          <a:ext cx="1280160" cy="126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13283</xdr:colOff>
      <xdr:row>53</xdr:row>
      <xdr:rowOff>115826</xdr:rowOff>
    </xdr:from>
    <xdr:to>
      <xdr:col>21</xdr:col>
      <xdr:colOff>282971</xdr:colOff>
      <xdr:row>70</xdr:row>
      <xdr:rowOff>45121</xdr:rowOff>
    </xdr:to>
    <xdr:graphicFrame macro="">
      <xdr:nvGraphicFramePr>
        <xdr:cNvPr id="3" name="Chart 2">
          <a:extLst>
            <a:ext uri="{FF2B5EF4-FFF2-40B4-BE49-F238E27FC236}">
              <a16:creationId xmlns:a16="http://schemas.microsoft.com/office/drawing/2014/main" id="{49538054-4015-A3AD-F8BC-B4C47739BE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590549</xdr:colOff>
      <xdr:row>36</xdr:row>
      <xdr:rowOff>142875</xdr:rowOff>
    </xdr:from>
    <xdr:to>
      <xdr:col>21</xdr:col>
      <xdr:colOff>225749</xdr:colOff>
      <xdr:row>52</xdr:row>
      <xdr:rowOff>19050</xdr:rowOff>
    </xdr:to>
    <xdr:graphicFrame macro="">
      <xdr:nvGraphicFramePr>
        <xdr:cNvPr id="4" name="Chart 3">
          <a:extLst>
            <a:ext uri="{FF2B5EF4-FFF2-40B4-BE49-F238E27FC236}">
              <a16:creationId xmlns:a16="http://schemas.microsoft.com/office/drawing/2014/main" id="{D9DEE324-64F5-1E36-1477-2DD04CF708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467319</xdr:colOff>
      <xdr:row>15</xdr:row>
      <xdr:rowOff>96836</xdr:rowOff>
    </xdr:from>
    <xdr:to>
      <xdr:col>20</xdr:col>
      <xdr:colOff>146176</xdr:colOff>
      <xdr:row>34</xdr:row>
      <xdr:rowOff>29765</xdr:rowOff>
    </xdr:to>
    <xdr:graphicFrame macro="">
      <xdr:nvGraphicFramePr>
        <xdr:cNvPr id="5" name="Chart 4">
          <a:extLst>
            <a:ext uri="{FF2B5EF4-FFF2-40B4-BE49-F238E27FC236}">
              <a16:creationId xmlns:a16="http://schemas.microsoft.com/office/drawing/2014/main" id="{67CA916C-403F-AD80-ACF9-9E7CF1326B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481567</xdr:colOff>
      <xdr:row>73</xdr:row>
      <xdr:rowOff>58091</xdr:rowOff>
    </xdr:from>
    <xdr:to>
      <xdr:col>14</xdr:col>
      <xdr:colOff>101879</xdr:colOff>
      <xdr:row>104</xdr:row>
      <xdr:rowOff>175079</xdr:rowOff>
    </xdr:to>
    <xdr:grpSp>
      <xdr:nvGrpSpPr>
        <xdr:cNvPr id="20" name="Group 19">
          <a:extLst>
            <a:ext uri="{FF2B5EF4-FFF2-40B4-BE49-F238E27FC236}">
              <a16:creationId xmlns:a16="http://schemas.microsoft.com/office/drawing/2014/main" id="{5B307649-E838-8C3C-30BE-BB75119157E7}"/>
            </a:ext>
          </a:extLst>
        </xdr:cNvPr>
        <xdr:cNvGrpSpPr/>
      </xdr:nvGrpSpPr>
      <xdr:grpSpPr>
        <a:xfrm>
          <a:off x="5110717" y="16450616"/>
          <a:ext cx="5716312" cy="6022488"/>
          <a:chOff x="5326382" y="33143943"/>
          <a:chExt cx="5735127" cy="6532840"/>
        </a:xfrm>
      </xdr:grpSpPr>
      <mc:AlternateContent xmlns:mc="http://schemas.openxmlformats.org/markup-compatibility/2006">
        <mc:Choice xmlns:cx1="http://schemas.microsoft.com/office/drawing/2015/9/8/chartex" Requires="cx1">
          <xdr:graphicFrame macro="">
            <xdr:nvGraphicFramePr>
              <xdr:cNvPr id="19" name="Chart 18">
                <a:extLst>
                  <a:ext uri="{FF2B5EF4-FFF2-40B4-BE49-F238E27FC236}">
                    <a16:creationId xmlns:a16="http://schemas.microsoft.com/office/drawing/2014/main" id="{2FD254AC-0064-4097-9F5B-A0D564AEF5BB}"/>
                  </a:ext>
                </a:extLst>
              </xdr:cNvPr>
              <xdr:cNvGraphicFramePr/>
            </xdr:nvGraphicFramePr>
            <xdr:xfrm>
              <a:off x="5331579" y="36429163"/>
              <a:ext cx="5729930" cy="324762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5331579" y="36429163"/>
                <a:ext cx="5729930" cy="324762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mc:AlternateContent xmlns:mc="http://schemas.openxmlformats.org/markup-compatibility/2006">
        <mc:Choice xmlns:cx1="http://schemas.microsoft.com/office/drawing/2015/9/8/chartex" Requires="cx1">
          <xdr:graphicFrame macro="">
            <xdr:nvGraphicFramePr>
              <xdr:cNvPr id="18" name="Chart 17">
                <a:extLst>
                  <a:ext uri="{FF2B5EF4-FFF2-40B4-BE49-F238E27FC236}">
                    <a16:creationId xmlns:a16="http://schemas.microsoft.com/office/drawing/2014/main" id="{4B890118-6BA0-FB26-9691-521BCB808293}"/>
                  </a:ext>
                </a:extLst>
              </xdr:cNvPr>
              <xdr:cNvGraphicFramePr/>
            </xdr:nvGraphicFramePr>
            <xdr:xfrm>
              <a:off x="5326382" y="33143943"/>
              <a:ext cx="5731200" cy="324381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5326382" y="33143943"/>
                <a:ext cx="5731200" cy="324381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48933</xdr:colOff>
      <xdr:row>34</xdr:row>
      <xdr:rowOff>122891</xdr:rowOff>
    </xdr:from>
    <xdr:to>
      <xdr:col>22</xdr:col>
      <xdr:colOff>277906</xdr:colOff>
      <xdr:row>65</xdr:row>
      <xdr:rowOff>203360</xdr:rowOff>
    </xdr:to>
    <xdr:graphicFrame macro="">
      <xdr:nvGraphicFramePr>
        <xdr:cNvPr id="2" name="Grafiek 1">
          <a:extLst>
            <a:ext uri="{FF2B5EF4-FFF2-40B4-BE49-F238E27FC236}">
              <a16:creationId xmlns:a16="http://schemas.microsoft.com/office/drawing/2014/main" id="{B4BE3AAD-B927-434E-8A3F-B8FC6C982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481293</xdr:colOff>
      <xdr:row>2</xdr:row>
      <xdr:rowOff>81802</xdr:rowOff>
    </xdr:from>
    <xdr:to>
      <xdr:col>22</xdr:col>
      <xdr:colOff>555812</xdr:colOff>
      <xdr:row>23</xdr:row>
      <xdr:rowOff>125506</xdr:rowOff>
    </xdr:to>
    <xdr:graphicFrame macro="">
      <xdr:nvGraphicFramePr>
        <xdr:cNvPr id="2" name="Graphique 2">
          <a:extLst>
            <a:ext uri="{FF2B5EF4-FFF2-40B4-BE49-F238E27FC236}">
              <a16:creationId xmlns:a16="http://schemas.microsoft.com/office/drawing/2014/main" id="{AD332111-38D7-4827-A471-05B1269E4364}"/>
            </a:ext>
            <a:ext uri="{147F2762-F138-4A5C-976F-8EAC2B608ADB}">
              <a16:predDERef xmlns:a16="http://schemas.microsoft.com/office/drawing/2014/main" pre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530412</xdr:colOff>
      <xdr:row>2</xdr:row>
      <xdr:rowOff>14941</xdr:rowOff>
    </xdr:from>
    <xdr:to>
      <xdr:col>37</xdr:col>
      <xdr:colOff>410697</xdr:colOff>
      <xdr:row>30</xdr:row>
      <xdr:rowOff>29883</xdr:rowOff>
    </xdr:to>
    <xdr:graphicFrame macro="">
      <xdr:nvGraphicFramePr>
        <xdr:cNvPr id="2" name="Chart 1">
          <a:extLst>
            <a:ext uri="{FF2B5EF4-FFF2-40B4-BE49-F238E27FC236}">
              <a16:creationId xmlns:a16="http://schemas.microsoft.com/office/drawing/2014/main" id="{4BC60D25-4818-4589-9073-DF5BD21A5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116540</xdr:colOff>
      <xdr:row>49</xdr:row>
      <xdr:rowOff>208129</xdr:rowOff>
    </xdr:from>
    <xdr:to>
      <xdr:col>9</xdr:col>
      <xdr:colOff>466887</xdr:colOff>
      <xdr:row>88</xdr:row>
      <xdr:rowOff>205470</xdr:rowOff>
    </xdr:to>
    <xdr:pic>
      <xdr:nvPicPr>
        <xdr:cNvPr id="3" name="Picture 2">
          <a:extLst>
            <a:ext uri="{FF2B5EF4-FFF2-40B4-BE49-F238E27FC236}">
              <a16:creationId xmlns:a16="http://schemas.microsoft.com/office/drawing/2014/main" id="{57AD9FE1-168D-4DBB-92D5-B867931B2D7B}"/>
            </a:ext>
          </a:extLst>
        </xdr:cNvPr>
        <xdr:cNvPicPr>
          <a:picLocks noChangeAspect="1"/>
        </xdr:cNvPicPr>
      </xdr:nvPicPr>
      <xdr:blipFill>
        <a:blip xmlns:r="http://schemas.openxmlformats.org/officeDocument/2006/relationships" r:embed="rId2"/>
        <a:stretch>
          <a:fillRect/>
        </a:stretch>
      </xdr:blipFill>
      <xdr:spPr>
        <a:xfrm>
          <a:off x="116540" y="11252647"/>
          <a:ext cx="8496725" cy="8383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302853</xdr:colOff>
      <xdr:row>70</xdr:row>
      <xdr:rowOff>145027</xdr:rowOff>
    </xdr:from>
    <xdr:to>
      <xdr:col>12</xdr:col>
      <xdr:colOff>118662</xdr:colOff>
      <xdr:row>90</xdr:row>
      <xdr:rowOff>26716</xdr:rowOff>
    </xdr:to>
    <xdr:graphicFrame macro="">
      <xdr:nvGraphicFramePr>
        <xdr:cNvPr id="5" name="Chart 4">
          <a:extLst>
            <a:ext uri="{FF2B5EF4-FFF2-40B4-BE49-F238E27FC236}">
              <a16:creationId xmlns:a16="http://schemas.microsoft.com/office/drawing/2014/main" id="{92BFDF6D-BB18-4934-AED9-1AEA86C2B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549798</xdr:colOff>
      <xdr:row>71</xdr:row>
      <xdr:rowOff>48228</xdr:rowOff>
    </xdr:from>
    <xdr:to>
      <xdr:col>22</xdr:col>
      <xdr:colOff>372412</xdr:colOff>
      <xdr:row>90</xdr:row>
      <xdr:rowOff>129216</xdr:rowOff>
    </xdr:to>
    <xdr:pic>
      <xdr:nvPicPr>
        <xdr:cNvPr id="12" name="Picture 11">
          <a:extLst>
            <a:ext uri="{FF2B5EF4-FFF2-40B4-BE49-F238E27FC236}">
              <a16:creationId xmlns:a16="http://schemas.microsoft.com/office/drawing/2014/main" id="{57BE5222-55CD-FBED-EDBE-BB98BFB875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7975" y="15895899"/>
          <a:ext cx="5899323" cy="3746305"/>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0.7566</cdr:x>
      <cdr:y>0.1661</cdr:y>
    </cdr:from>
    <cdr:to>
      <cdr:x>0.9841</cdr:x>
      <cdr:y>0.23169</cdr:y>
    </cdr:to>
    <cdr:sp macro="" textlink="">
      <cdr:nvSpPr>
        <cdr:cNvPr id="10" name="TextBox 13">
          <a:extLst xmlns:a="http://schemas.openxmlformats.org/drawingml/2006/main">
            <a:ext uri="{FF2B5EF4-FFF2-40B4-BE49-F238E27FC236}">
              <a16:creationId xmlns:a16="http://schemas.microsoft.com/office/drawing/2014/main" id="{723021EF-73CC-484B-BFBB-C7BED2974490}"/>
            </a:ext>
          </a:extLst>
        </cdr:cNvPr>
        <cdr:cNvSpPr txBox="1"/>
      </cdr:nvSpPr>
      <cdr:spPr>
        <a:xfrm xmlns:a="http://schemas.openxmlformats.org/drawingml/2006/main">
          <a:off x="4477451" y="615695"/>
          <a:ext cx="1346318" cy="2431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IE" sz="800" baseline="0">
              <a:solidFill>
                <a:schemeClr val="accent3"/>
              </a:solidFill>
              <a:latin typeface="Segoe UI Semibold" panose="020B0702040204020203" pitchFamily="34" charset="0"/>
              <a:cs typeface="Segoe UI Semibold" panose="020B0702040204020203" pitchFamily="34" charset="0"/>
            </a:rPr>
            <a:t>CCUS feasibility thresholds</a:t>
          </a:r>
          <a:endParaRPr lang="en-DK" sz="800">
            <a:solidFill>
              <a:schemeClr val="accent3"/>
            </a:solidFill>
            <a:latin typeface="Segoe UI Semibold" panose="020B0702040204020203" pitchFamily="34" charset="0"/>
            <a:cs typeface="Segoe UI Semibold" panose="020B0702040204020203" pitchFamily="34" charset="0"/>
          </a:endParaRPr>
        </a:p>
      </cdr:txBody>
    </cdr:sp>
  </cdr:relSizeAnchor>
  <cdr:relSizeAnchor xmlns:cdr="http://schemas.openxmlformats.org/drawingml/2006/chartDrawing">
    <cdr:from>
      <cdr:x>0.64567</cdr:x>
      <cdr:y>0.26772</cdr:y>
    </cdr:from>
    <cdr:to>
      <cdr:x>0.96952</cdr:x>
      <cdr:y>0.26772</cdr:y>
    </cdr:to>
    <cdr:cxnSp macro="">
      <cdr:nvCxnSpPr>
        <cdr:cNvPr id="3" name="Straight Connector 2">
          <a:extLst xmlns:a="http://schemas.openxmlformats.org/drawingml/2006/main">
            <a:ext uri="{FF2B5EF4-FFF2-40B4-BE49-F238E27FC236}">
              <a16:creationId xmlns:a16="http://schemas.microsoft.com/office/drawing/2014/main" id="{AC471999-A8E8-1D5F-840A-4C5877DAA4C8}"/>
            </a:ext>
          </a:extLst>
        </cdr:cNvPr>
        <cdr:cNvCxnSpPr/>
      </cdr:nvCxnSpPr>
      <cdr:spPr>
        <a:xfrm xmlns:a="http://schemas.openxmlformats.org/drawingml/2006/main" flipH="1">
          <a:off x="3821012" y="992404"/>
          <a:ext cx="1916505" cy="0"/>
        </a:xfrm>
        <a:prstGeom xmlns:a="http://schemas.openxmlformats.org/drawingml/2006/main" prst="line">
          <a:avLst/>
        </a:prstGeom>
        <a:ln xmlns:a="http://schemas.openxmlformats.org/drawingml/2006/main" w="38100" cap="rnd">
          <a:solidFill>
            <a:schemeClr val="accent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0.64759</cdr:x>
      <cdr:y>0.32565</cdr:y>
    </cdr:from>
    <cdr:to>
      <cdr:x>0.97144</cdr:x>
      <cdr:y>0.32565</cdr:y>
    </cdr:to>
    <cdr:cxnSp macro="">
      <cdr:nvCxnSpPr>
        <cdr:cNvPr id="6" name="Straight Connector 5">
          <a:extLst xmlns:a="http://schemas.openxmlformats.org/drawingml/2006/main">
            <a:ext uri="{FF2B5EF4-FFF2-40B4-BE49-F238E27FC236}">
              <a16:creationId xmlns:a16="http://schemas.microsoft.com/office/drawing/2014/main" id="{73D9DC8D-E31B-A4E7-0BE2-7636C4CE916A}"/>
            </a:ext>
          </a:extLst>
        </cdr:cNvPr>
        <cdr:cNvCxnSpPr/>
      </cdr:nvCxnSpPr>
      <cdr:spPr>
        <a:xfrm xmlns:a="http://schemas.openxmlformats.org/drawingml/2006/main" flipH="1">
          <a:off x="3832346" y="1207140"/>
          <a:ext cx="1916505" cy="0"/>
        </a:xfrm>
        <a:prstGeom xmlns:a="http://schemas.openxmlformats.org/drawingml/2006/main" prst="line">
          <a:avLst/>
        </a:prstGeom>
        <a:ln xmlns:a="http://schemas.openxmlformats.org/drawingml/2006/main" w="38100" cap="rnd">
          <a:solidFill>
            <a:schemeClr val="accent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0.41447</cdr:x>
      <cdr:y>0.39328</cdr:y>
    </cdr:from>
    <cdr:to>
      <cdr:x>0.44297</cdr:x>
      <cdr:y>0.46292</cdr:y>
    </cdr:to>
    <cdr:sp macro="" textlink="">
      <cdr:nvSpPr>
        <cdr:cNvPr id="12" name="Right Brace 11">
          <a:extLst xmlns:a="http://schemas.openxmlformats.org/drawingml/2006/main">
            <a:ext uri="{FF2B5EF4-FFF2-40B4-BE49-F238E27FC236}">
              <a16:creationId xmlns:a16="http://schemas.microsoft.com/office/drawing/2014/main" id="{0A84BCB0-9A7B-4F40-A271-C2BBC3998BC0}"/>
            </a:ext>
          </a:extLst>
        </cdr:cNvPr>
        <cdr:cNvSpPr/>
      </cdr:nvSpPr>
      <cdr:spPr>
        <a:xfrm xmlns:a="http://schemas.openxmlformats.org/drawingml/2006/main">
          <a:off x="2446513" y="1460751"/>
          <a:ext cx="168267" cy="258643"/>
        </a:xfrm>
        <a:prstGeom xmlns:a="http://schemas.openxmlformats.org/drawingml/2006/main" prst="rightBrace">
          <a:avLst/>
        </a:prstGeom>
        <a:ln xmlns:a="http://schemas.openxmlformats.org/drawingml/2006/main" w="28575">
          <a:solidFill>
            <a:schemeClr val="accent1">
              <a:lumMod val="60000"/>
              <a:lumOff val="4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n-DK" sz="1100"/>
        </a:p>
      </cdr:txBody>
    </cdr:sp>
  </cdr:relSizeAnchor>
  <cdr:relSizeAnchor xmlns:cdr="http://schemas.openxmlformats.org/drawingml/2006/chartDrawing">
    <cdr:from>
      <cdr:x>0.41498</cdr:x>
      <cdr:y>0.47376</cdr:y>
    </cdr:from>
    <cdr:to>
      <cdr:x>0.44358</cdr:x>
      <cdr:y>0.64132</cdr:y>
    </cdr:to>
    <cdr:sp macro="" textlink="">
      <cdr:nvSpPr>
        <cdr:cNvPr id="13" name="Right Brace 12">
          <a:extLst xmlns:a="http://schemas.openxmlformats.org/drawingml/2006/main">
            <a:ext uri="{FF2B5EF4-FFF2-40B4-BE49-F238E27FC236}">
              <a16:creationId xmlns:a16="http://schemas.microsoft.com/office/drawing/2014/main" id="{4044C6E3-4830-489B-B3C6-DDDB74B6B8DC}"/>
            </a:ext>
          </a:extLst>
        </cdr:cNvPr>
        <cdr:cNvSpPr/>
      </cdr:nvSpPr>
      <cdr:spPr>
        <a:xfrm xmlns:a="http://schemas.openxmlformats.org/drawingml/2006/main">
          <a:off x="2449522" y="1759664"/>
          <a:ext cx="168856" cy="622347"/>
        </a:xfrm>
        <a:prstGeom xmlns:a="http://schemas.openxmlformats.org/drawingml/2006/main" prst="rightBrace">
          <a:avLst/>
        </a:prstGeom>
        <a:ln xmlns:a="http://schemas.openxmlformats.org/drawingml/2006/main" w="28575">
          <a:solidFill>
            <a:schemeClr val="accent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n-DK" sz="1100"/>
        </a:p>
      </cdr:txBody>
    </cdr:sp>
  </cdr:relSizeAnchor>
  <cdr:relSizeAnchor xmlns:cdr="http://schemas.openxmlformats.org/drawingml/2006/chartDrawing">
    <cdr:from>
      <cdr:x>0.75909</cdr:x>
      <cdr:y>0.3026</cdr:y>
    </cdr:from>
    <cdr:to>
      <cdr:x>0.78755</cdr:x>
      <cdr:y>0.41034</cdr:y>
    </cdr:to>
    <cdr:sp macro="" textlink="">
      <cdr:nvSpPr>
        <cdr:cNvPr id="14" name="Right Brace 13">
          <a:extLst xmlns:a="http://schemas.openxmlformats.org/drawingml/2006/main">
            <a:ext uri="{FF2B5EF4-FFF2-40B4-BE49-F238E27FC236}">
              <a16:creationId xmlns:a16="http://schemas.microsoft.com/office/drawing/2014/main" id="{C3387CFC-109A-468E-A028-4A0614943C95}"/>
            </a:ext>
          </a:extLst>
        </cdr:cNvPr>
        <cdr:cNvSpPr/>
      </cdr:nvSpPr>
      <cdr:spPr>
        <a:xfrm xmlns:a="http://schemas.openxmlformats.org/drawingml/2006/main">
          <a:off x="4480771" y="1123913"/>
          <a:ext cx="167954" cy="400187"/>
        </a:xfrm>
        <a:prstGeom xmlns:a="http://schemas.openxmlformats.org/drawingml/2006/main" prst="rightBrace">
          <a:avLst/>
        </a:prstGeom>
        <a:ln xmlns:a="http://schemas.openxmlformats.org/drawingml/2006/main" w="28575">
          <a:solidFill>
            <a:schemeClr val="accent1">
              <a:lumMod val="60000"/>
              <a:lumOff val="4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n-DK" sz="1100"/>
        </a:p>
      </cdr:txBody>
    </cdr:sp>
  </cdr:relSizeAnchor>
  <cdr:relSizeAnchor xmlns:cdr="http://schemas.openxmlformats.org/drawingml/2006/chartDrawing">
    <cdr:from>
      <cdr:x>0.76062</cdr:x>
      <cdr:y>0.42278</cdr:y>
    </cdr:from>
    <cdr:to>
      <cdr:x>0.78907</cdr:x>
      <cdr:y>0.6413</cdr:y>
    </cdr:to>
    <cdr:sp macro="" textlink="">
      <cdr:nvSpPr>
        <cdr:cNvPr id="15" name="Right Brace 14">
          <a:extLst xmlns:a="http://schemas.openxmlformats.org/drawingml/2006/main">
            <a:ext uri="{FF2B5EF4-FFF2-40B4-BE49-F238E27FC236}">
              <a16:creationId xmlns:a16="http://schemas.microsoft.com/office/drawing/2014/main" id="{AE894865-1347-40BC-A965-5DEBA3473594}"/>
            </a:ext>
          </a:extLst>
        </cdr:cNvPr>
        <cdr:cNvSpPr/>
      </cdr:nvSpPr>
      <cdr:spPr>
        <a:xfrm xmlns:a="http://schemas.openxmlformats.org/drawingml/2006/main">
          <a:off x="4489788" y="1570291"/>
          <a:ext cx="167954" cy="811664"/>
        </a:xfrm>
        <a:prstGeom xmlns:a="http://schemas.openxmlformats.org/drawingml/2006/main" prst="rightBrace">
          <a:avLst/>
        </a:prstGeom>
        <a:ln xmlns:a="http://schemas.openxmlformats.org/drawingml/2006/main" w="28575">
          <a:solidFill>
            <a:schemeClr val="accent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n-DK"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Julian.Haumaier" id="{B264CC5F-98D4-4FCF-9259-4D43AE13A575}" userId="S::julian.haumaier_tennet.eu#ext#@entsogeu.onmicrosoft.com::147f5dc2-726c-4032-9154-415aef2f99eb" providerId="AD"/>
</personList>
</file>

<file path=xl/theme/theme1.xml><?xml version="1.0" encoding="utf-8"?>
<a:theme xmlns:a="http://schemas.openxmlformats.org/drawingml/2006/main" name="ESABCC Excel Theme">
  <a:themeElements>
    <a:clrScheme name="ESABCC">
      <a:dk1>
        <a:sysClr val="windowText" lastClr="000000"/>
      </a:dk1>
      <a:lt1>
        <a:sysClr val="window" lastClr="FFFFFF"/>
      </a:lt1>
      <a:dk2>
        <a:srgbClr val="608C95"/>
      </a:dk2>
      <a:lt2>
        <a:srgbClr val="E7E6E6"/>
      </a:lt2>
      <a:accent1>
        <a:srgbClr val="648ECA"/>
      </a:accent1>
      <a:accent2>
        <a:srgbClr val="B04545"/>
      </a:accent2>
      <a:accent3>
        <a:srgbClr val="F59E2D"/>
      </a:accent3>
      <a:accent4>
        <a:srgbClr val="EFE973"/>
      </a:accent4>
      <a:accent5>
        <a:srgbClr val="B487C7"/>
      </a:accent5>
      <a:accent6>
        <a:srgbClr val="8EC26A"/>
      </a:accent6>
      <a:hlink>
        <a:srgbClr val="0563C1"/>
      </a:hlink>
      <a:folHlink>
        <a:srgbClr val="954F72"/>
      </a:folHlink>
    </a:clrScheme>
    <a:fontScheme name="ESABCC">
      <a:majorFont>
        <a:latin typeface="Segoe UI Light"/>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F25" dT="2024-04-04T12:17:16.23" personId="{B264CC5F-98D4-4FCF-9259-4D43AE13A575}" id="{E24FC55B-5901-4B81-9A64-C033ADA8E402}">
    <text>DRES from spain missing for all</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ec.europa.eu/eurostat/cache/infographs/energy_balances/enbal.html?geo=EU27_2020&amp;unit=GWH&amp;language=EN&amp;year=2022&amp;fuel=fuelMainFuel&amp;siec=TOTAL&amp;details=0&amp;chartOptions=0&amp;stacking=normal&amp;chartBal=NRGSUP&amp;chart=barCart&amp;full=1&amp;chartBalText=&amp;order=DESC&amp;siecs=TOTAL,C0000X0350-0370,C0350-0370,E7000,S2000,G3000,H8000,N900H,O4000XBIO,P1000,RA000,W6100_6220&amp;dataset=nrg_bal_s&amp;decimals=0&amp;agregates=0&amp;fuelList=fuelElectricity,fuelCombustible,fuelNonCombustible,fuelOtherPetroleum,fuelMainPetroleum,fuelOil,fuelOtherFossil,fuelFossil,fuelCoal,fuelMainFue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7313-B9AC-4483-A8F6-A07D6D410C92}">
  <sheetPr>
    <tabColor theme="3"/>
  </sheetPr>
  <dimension ref="A3:K8"/>
  <sheetViews>
    <sheetView tabSelected="1" workbookViewId="0">
      <selection activeCell="C7" sqref="C7"/>
    </sheetView>
  </sheetViews>
  <sheetFormatPr defaultColWidth="8.85546875" defaultRowHeight="15"/>
  <cols>
    <col min="1" max="1" width="8.85546875" style="17"/>
    <col min="2" max="2" width="6" style="17" customWidth="1"/>
    <col min="3" max="5" width="8.85546875" style="17"/>
    <col min="6" max="6" width="8.85546875" style="17" customWidth="1"/>
    <col min="7" max="16384" width="8.85546875" style="17"/>
  </cols>
  <sheetData>
    <row r="3" spans="1:11" ht="44.45" customHeight="1">
      <c r="A3" s="485" t="s">
        <v>0</v>
      </c>
      <c r="B3" s="485"/>
      <c r="C3" s="485"/>
      <c r="D3" s="485"/>
      <c r="E3" s="485"/>
      <c r="F3" s="485"/>
      <c r="G3" s="485"/>
      <c r="H3" s="485"/>
      <c r="I3" s="485"/>
      <c r="J3" s="485"/>
    </row>
    <row r="4" spans="1:11" ht="33" customHeight="1">
      <c r="A4" s="486" t="s">
        <v>1</v>
      </c>
      <c r="B4" s="486"/>
      <c r="C4" s="486"/>
      <c r="D4" s="486"/>
      <c r="E4" s="486"/>
      <c r="F4" s="486"/>
      <c r="G4" s="486"/>
      <c r="H4" s="486"/>
      <c r="I4" s="486"/>
      <c r="J4" s="486"/>
    </row>
    <row r="6" spans="1:11">
      <c r="C6" s="236" t="s">
        <v>2</v>
      </c>
    </row>
    <row r="8" spans="1:11" ht="41.45" customHeight="1">
      <c r="C8" s="487" t="s">
        <v>3</v>
      </c>
      <c r="D8" s="488"/>
      <c r="E8" s="488"/>
      <c r="F8" s="488"/>
      <c r="G8" s="488"/>
      <c r="H8" s="488"/>
      <c r="I8" s="488"/>
      <c r="J8" s="488"/>
      <c r="K8" s="488"/>
    </row>
  </sheetData>
  <mergeCells count="3">
    <mergeCell ref="A3:J3"/>
    <mergeCell ref="A4:J4"/>
    <mergeCell ref="C8:K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C6B8-9604-4517-AC44-69D6DBE3B554}">
  <sheetPr>
    <tabColor theme="8"/>
  </sheetPr>
  <dimension ref="A1:Z150"/>
  <sheetViews>
    <sheetView zoomScale="91" zoomScaleNormal="91" workbookViewId="0">
      <selection activeCell="O113" sqref="O113"/>
    </sheetView>
  </sheetViews>
  <sheetFormatPr defaultColWidth="9.28515625" defaultRowHeight="16.899999999999999"/>
  <cols>
    <col min="1" max="1" width="9.28515625" style="214"/>
    <col min="2" max="2" width="32.42578125" style="214" bestFit="1" customWidth="1"/>
    <col min="3" max="3" width="26" style="214" customWidth="1"/>
    <col min="4" max="12" width="9.7109375" style="214" customWidth="1"/>
    <col min="13" max="13" width="14.140625" style="214" customWidth="1"/>
    <col min="14" max="15" width="9.42578125" style="214" bestFit="1" customWidth="1"/>
    <col min="16" max="16" width="9.28515625" style="214" bestFit="1" customWidth="1"/>
    <col min="17" max="19" width="9.42578125" style="214" bestFit="1" customWidth="1"/>
    <col min="20" max="20" width="12.28515625" style="214" bestFit="1" customWidth="1"/>
    <col min="21" max="21" width="13.28515625" style="214" bestFit="1" customWidth="1"/>
    <col min="22" max="22" width="9.28515625" style="214"/>
    <col min="23" max="23" width="13.28515625" style="214" bestFit="1" customWidth="1"/>
    <col min="24" max="24" width="9.7109375" style="214" bestFit="1" customWidth="1"/>
    <col min="25" max="16384" width="9.28515625" style="214"/>
  </cols>
  <sheetData>
    <row r="1" spans="1:12" s="309" customFormat="1">
      <c r="A1" s="304" t="s">
        <v>126</v>
      </c>
      <c r="C1" s="310"/>
      <c r="D1" s="310"/>
      <c r="E1" s="310"/>
      <c r="F1" s="310"/>
      <c r="G1" s="310"/>
      <c r="H1" s="310"/>
      <c r="I1" s="310"/>
    </row>
    <row r="3" spans="1:12">
      <c r="B3" s="1" t="s">
        <v>351</v>
      </c>
      <c r="C3" s="22"/>
      <c r="D3" s="22"/>
      <c r="E3" s="22"/>
      <c r="F3" s="22"/>
      <c r="G3" s="22"/>
      <c r="H3" s="22"/>
      <c r="I3" s="22"/>
      <c r="J3" s="22"/>
      <c r="K3" s="22"/>
      <c r="L3" s="22"/>
    </row>
    <row r="4" spans="1:12">
      <c r="A4" s="215"/>
      <c r="B4" s="22"/>
      <c r="C4" s="22"/>
      <c r="D4" s="22"/>
      <c r="E4" s="22"/>
      <c r="F4" s="22"/>
      <c r="G4" s="22"/>
      <c r="H4" s="22"/>
      <c r="I4" s="22"/>
      <c r="J4" s="22"/>
      <c r="K4" s="22"/>
      <c r="L4" s="22"/>
    </row>
    <row r="5" spans="1:12">
      <c r="B5" s="22"/>
      <c r="C5" s="24" t="s">
        <v>206</v>
      </c>
      <c r="D5" s="555" t="s">
        <v>207</v>
      </c>
      <c r="E5" s="556"/>
      <c r="F5" s="557" t="s">
        <v>35</v>
      </c>
      <c r="G5" s="557"/>
      <c r="H5" s="557" t="s">
        <v>36</v>
      </c>
      <c r="I5" s="557"/>
    </row>
    <row r="6" spans="1:12">
      <c r="B6" s="22"/>
      <c r="C6" s="24">
        <v>2019</v>
      </c>
      <c r="D6" s="216">
        <v>2030</v>
      </c>
      <c r="E6" s="216">
        <v>2040</v>
      </c>
      <c r="F6" s="216">
        <v>2040</v>
      </c>
      <c r="G6" s="216">
        <v>2050</v>
      </c>
      <c r="H6" s="216">
        <v>2040</v>
      </c>
      <c r="I6" s="216">
        <v>2050</v>
      </c>
      <c r="J6" s="217"/>
    </row>
    <row r="7" spans="1:12">
      <c r="B7" s="24" t="s">
        <v>352</v>
      </c>
      <c r="C7" s="218">
        <v>0</v>
      </c>
      <c r="D7" s="218">
        <v>10.355237367491167</v>
      </c>
      <c r="E7" s="218">
        <v>72.138492987131912</v>
      </c>
      <c r="F7" s="218">
        <v>74.712548340322869</v>
      </c>
      <c r="G7" s="218">
        <v>108.55292451169004</v>
      </c>
      <c r="H7" s="218">
        <v>346.71384047003016</v>
      </c>
      <c r="I7" s="218">
        <v>390.53719271096065</v>
      </c>
    </row>
    <row r="8" spans="1:12">
      <c r="B8" s="24" t="s">
        <v>353</v>
      </c>
      <c r="C8" s="218">
        <v>0</v>
      </c>
      <c r="D8" s="218">
        <v>54.656565436194299</v>
      </c>
      <c r="E8" s="218">
        <v>181.20448620212125</v>
      </c>
      <c r="F8" s="218">
        <v>138.61989185664271</v>
      </c>
      <c r="G8" s="218">
        <v>187.09647146469462</v>
      </c>
      <c r="H8" s="218">
        <v>281.72179968368027</v>
      </c>
      <c r="I8" s="218">
        <v>448.43712466778277</v>
      </c>
    </row>
    <row r="9" spans="1:12">
      <c r="B9" s="24" t="s">
        <v>354</v>
      </c>
      <c r="C9" s="218">
        <v>0</v>
      </c>
      <c r="D9" s="218">
        <v>231.75026275612873</v>
      </c>
      <c r="E9" s="218">
        <v>431.29760438281443</v>
      </c>
      <c r="F9" s="218">
        <v>375.66972782199878</v>
      </c>
      <c r="G9" s="218">
        <v>522.65897189175632</v>
      </c>
      <c r="H9" s="218">
        <v>554.87593611440082</v>
      </c>
      <c r="I9" s="218">
        <v>741.25193622629331</v>
      </c>
    </row>
    <row r="10" spans="1:12">
      <c r="B10" s="24" t="s">
        <v>355</v>
      </c>
      <c r="C10" s="218">
        <v>0</v>
      </c>
      <c r="D10" s="218">
        <v>0.3413932423957311</v>
      </c>
      <c r="E10" s="218">
        <v>2.0152813409360961</v>
      </c>
      <c r="F10" s="218">
        <v>3.221989139348528</v>
      </c>
      <c r="G10" s="218">
        <v>5.5525625110135559</v>
      </c>
      <c r="H10" s="218">
        <v>11.693907988448762</v>
      </c>
      <c r="I10" s="218">
        <v>24.75768848363338</v>
      </c>
    </row>
    <row r="11" spans="1:12">
      <c r="B11" s="24" t="s">
        <v>356</v>
      </c>
      <c r="C11" s="218">
        <v>0</v>
      </c>
      <c r="D11" s="218">
        <v>15.862883468333969</v>
      </c>
      <c r="E11" s="218">
        <v>212.85261130943138</v>
      </c>
      <c r="F11" s="218">
        <v>94.053949832217725</v>
      </c>
      <c r="G11" s="218">
        <v>81.850623828118771</v>
      </c>
      <c r="H11" s="218">
        <v>88.296944472256058</v>
      </c>
      <c r="I11" s="218">
        <v>70.010201456632487</v>
      </c>
    </row>
    <row r="12" spans="1:12">
      <c r="B12" s="24" t="s">
        <v>357</v>
      </c>
      <c r="C12" s="218">
        <v>0</v>
      </c>
      <c r="D12" s="218">
        <v>91.030690926863926</v>
      </c>
      <c r="E12" s="218">
        <v>244.54391854269289</v>
      </c>
      <c r="F12" s="218">
        <v>308.39999999999998</v>
      </c>
      <c r="G12" s="218">
        <v>402.1</v>
      </c>
      <c r="H12" s="218">
        <v>277</v>
      </c>
      <c r="I12" s="218">
        <v>407.3</v>
      </c>
    </row>
    <row r="13" spans="1:12">
      <c r="B13" s="24" t="s">
        <v>195</v>
      </c>
      <c r="C13" s="218">
        <v>0</v>
      </c>
      <c r="D13" s="218">
        <v>0</v>
      </c>
      <c r="E13" s="218">
        <v>0</v>
      </c>
      <c r="F13" s="218">
        <v>0</v>
      </c>
      <c r="G13" s="218">
        <v>0</v>
      </c>
      <c r="H13" s="218">
        <v>0</v>
      </c>
      <c r="I13" s="218">
        <v>0</v>
      </c>
    </row>
    <row r="14" spans="1:12">
      <c r="B14" s="24" t="s">
        <v>358</v>
      </c>
      <c r="C14" s="218">
        <v>0</v>
      </c>
      <c r="D14" s="218">
        <v>76.811184007024849</v>
      </c>
      <c r="E14" s="218">
        <v>529.56811776277016</v>
      </c>
      <c r="F14" s="218">
        <v>642.63429388932286</v>
      </c>
      <c r="G14" s="218">
        <v>813.23561212158415</v>
      </c>
      <c r="H14" s="218">
        <v>499.69302204343376</v>
      </c>
      <c r="I14" s="218">
        <v>766.89298891744647</v>
      </c>
    </row>
    <row r="15" spans="1:12">
      <c r="B15" s="24" t="s">
        <v>359</v>
      </c>
      <c r="C15" s="218">
        <v>0</v>
      </c>
      <c r="D15" s="218">
        <v>2.6714264960092784</v>
      </c>
      <c r="E15" s="218">
        <v>14.546779517241907</v>
      </c>
      <c r="F15" s="218">
        <v>113.12047328552887</v>
      </c>
      <c r="G15" s="218">
        <v>210.77347044971177</v>
      </c>
      <c r="H15" s="218">
        <v>128.69390677087176</v>
      </c>
      <c r="I15" s="218">
        <v>264.9039105121808</v>
      </c>
    </row>
    <row r="16" spans="1:12">
      <c r="B16" s="24" t="s">
        <v>170</v>
      </c>
      <c r="C16" s="219">
        <v>0</v>
      </c>
      <c r="D16" s="219">
        <v>483.47964370044201</v>
      </c>
      <c r="E16" s="219">
        <v>1688.1672920451399</v>
      </c>
      <c r="F16" s="219">
        <v>1750.4328741653826</v>
      </c>
      <c r="G16" s="219">
        <v>2331.8206367785688</v>
      </c>
      <c r="H16" s="219">
        <v>2188.6893575431213</v>
      </c>
      <c r="I16" s="219">
        <v>3114.0910429749301</v>
      </c>
      <c r="J16" s="220"/>
    </row>
    <row r="18" spans="2:15">
      <c r="B18" s="11" t="s">
        <v>216</v>
      </c>
      <c r="D18" s="221"/>
      <c r="E18" s="222"/>
      <c r="F18" s="222"/>
      <c r="G18" s="222"/>
      <c r="H18" s="222"/>
      <c r="I18" s="222"/>
    </row>
    <row r="19" spans="2:15">
      <c r="B19" s="11" t="s">
        <v>360</v>
      </c>
    </row>
    <row r="20" spans="2:15">
      <c r="B20" s="11" t="s">
        <v>361</v>
      </c>
    </row>
    <row r="21" spans="2:15">
      <c r="B21" s="223" t="s">
        <v>362</v>
      </c>
    </row>
    <row r="24" spans="2:15">
      <c r="B24" s="1" t="s">
        <v>363</v>
      </c>
      <c r="C24" s="22"/>
      <c r="D24" s="22"/>
      <c r="E24" s="22"/>
      <c r="F24" s="22"/>
      <c r="G24" s="22"/>
      <c r="H24" s="22"/>
      <c r="I24" s="22"/>
      <c r="J24" s="22"/>
      <c r="K24" s="22"/>
      <c r="L24" s="22"/>
      <c r="M24" s="22"/>
      <c r="N24" s="22"/>
      <c r="O24" s="22"/>
    </row>
    <row r="25" spans="2:15">
      <c r="B25" s="22"/>
      <c r="C25" s="22"/>
      <c r="D25" s="22"/>
      <c r="E25" s="22"/>
      <c r="F25" s="22"/>
      <c r="G25" s="22"/>
      <c r="H25" s="22"/>
      <c r="I25" s="22"/>
      <c r="J25" s="22"/>
      <c r="K25" s="22"/>
      <c r="L25" s="22"/>
      <c r="M25" s="22"/>
      <c r="N25" s="22"/>
      <c r="O25" s="22"/>
    </row>
    <row r="26" spans="2:15">
      <c r="B26" s="129"/>
      <c r="C26" s="129"/>
      <c r="D26" s="129" t="s">
        <v>354</v>
      </c>
      <c r="E26" s="129" t="s">
        <v>364</v>
      </c>
      <c r="F26" s="129" t="s">
        <v>365</v>
      </c>
      <c r="G26" s="129" t="s">
        <v>366</v>
      </c>
      <c r="H26" s="129" t="s">
        <v>353</v>
      </c>
      <c r="I26" s="129" t="s">
        <v>367</v>
      </c>
      <c r="J26" s="129" t="s">
        <v>368</v>
      </c>
      <c r="K26" s="129" t="s">
        <v>355</v>
      </c>
      <c r="L26" s="129" t="s">
        <v>109</v>
      </c>
      <c r="M26" s="129" t="s">
        <v>369</v>
      </c>
      <c r="N26" s="129" t="s">
        <v>370</v>
      </c>
      <c r="O26" s="22"/>
    </row>
    <row r="27" spans="2:15">
      <c r="B27" s="129">
        <v>2040</v>
      </c>
      <c r="C27" s="129" t="s">
        <v>236</v>
      </c>
      <c r="D27" s="97">
        <v>554.87593611440082</v>
      </c>
      <c r="E27" s="97">
        <v>6.6011515482535383</v>
      </c>
      <c r="F27" s="97">
        <v>128.69390677087176</v>
      </c>
      <c r="G27" s="97">
        <v>277</v>
      </c>
      <c r="H27" s="97">
        <v>275.12064813542645</v>
      </c>
      <c r="I27" s="97">
        <v>499.69302204343376</v>
      </c>
      <c r="J27" s="97">
        <v>346.71384047003016</v>
      </c>
      <c r="K27" s="97">
        <v>11.693907988448762</v>
      </c>
      <c r="L27" s="97">
        <v>0</v>
      </c>
      <c r="M27" s="97">
        <v>88.296944472256058</v>
      </c>
      <c r="N27" s="195">
        <v>2188.6893575431213</v>
      </c>
      <c r="O27" s="22"/>
    </row>
    <row r="28" spans="2:15">
      <c r="B28" s="129"/>
      <c r="C28" s="129" t="s">
        <v>235</v>
      </c>
      <c r="D28" s="97">
        <v>375.66972782199878</v>
      </c>
      <c r="E28" s="97">
        <v>4.2164913134983442</v>
      </c>
      <c r="F28" s="97">
        <v>113.12047328552887</v>
      </c>
      <c r="G28" s="97">
        <v>308.39999999999998</v>
      </c>
      <c r="H28" s="97">
        <v>134.40340054314464</v>
      </c>
      <c r="I28" s="97">
        <v>642.63429388932286</v>
      </c>
      <c r="J28" s="97">
        <v>74.712548340322869</v>
      </c>
      <c r="K28" s="97">
        <v>3.221989139348528</v>
      </c>
      <c r="L28" s="97">
        <v>0</v>
      </c>
      <c r="M28" s="97">
        <v>94.053949832217725</v>
      </c>
      <c r="N28" s="195">
        <v>1750.4328741653828</v>
      </c>
      <c r="O28" s="22"/>
    </row>
    <row r="29" spans="2:15">
      <c r="B29" s="129"/>
      <c r="C29" s="129" t="s">
        <v>232</v>
      </c>
      <c r="D29" s="97">
        <v>377.7526813034728</v>
      </c>
      <c r="E29" s="97">
        <v>20.51292425425704</v>
      </c>
      <c r="F29" s="97">
        <v>14.546779517241907</v>
      </c>
      <c r="G29" s="97">
        <v>244.54391854269289</v>
      </c>
      <c r="H29" s="97">
        <v>160.69156194786422</v>
      </c>
      <c r="I29" s="97">
        <v>529.56811776277016</v>
      </c>
      <c r="J29" s="97">
        <v>72.138492987131912</v>
      </c>
      <c r="K29" s="97">
        <v>2.0152813409360961</v>
      </c>
      <c r="L29" s="97"/>
      <c r="M29" s="97">
        <v>172.18745810711684</v>
      </c>
      <c r="N29" s="195">
        <v>1593.9572157634839</v>
      </c>
      <c r="O29" s="22"/>
    </row>
    <row r="30" spans="2:15">
      <c r="B30" s="129"/>
      <c r="C30" s="353" t="s">
        <v>237</v>
      </c>
      <c r="D30" s="97">
        <v>189.27155847047413</v>
      </c>
      <c r="E30" s="97">
        <v>5.0151958454994778</v>
      </c>
      <c r="F30" s="97">
        <v>11.525155989947667</v>
      </c>
      <c r="G30" s="97">
        <v>52.095651685278796</v>
      </c>
      <c r="H30" s="97">
        <v>168.94481224746718</v>
      </c>
      <c r="I30" s="97">
        <v>581.44853330712931</v>
      </c>
      <c r="J30" s="97" t="s">
        <v>371</v>
      </c>
      <c r="K30" s="97" t="s">
        <v>371</v>
      </c>
      <c r="L30" s="97">
        <v>69.472327712659421</v>
      </c>
      <c r="M30" s="97" t="s">
        <v>371</v>
      </c>
      <c r="N30" s="354">
        <v>1077.773235258456</v>
      </c>
      <c r="O30" s="22"/>
    </row>
    <row r="31" spans="2:15">
      <c r="B31" s="129">
        <v>2050</v>
      </c>
      <c r="C31" s="129" t="s">
        <v>236</v>
      </c>
      <c r="D31" s="97">
        <v>741.25193622629331</v>
      </c>
      <c r="E31" s="97">
        <v>4.52535259106683</v>
      </c>
      <c r="F31" s="97">
        <v>264.9039105121808</v>
      </c>
      <c r="G31" s="97">
        <v>407.3</v>
      </c>
      <c r="H31" s="97">
        <v>443.91177207671615</v>
      </c>
      <c r="I31" s="97">
        <v>766.89298891744647</v>
      </c>
      <c r="J31" s="97">
        <v>390.53719271096065</v>
      </c>
      <c r="K31" s="97">
        <v>24.75768848363338</v>
      </c>
      <c r="L31" s="97">
        <v>0</v>
      </c>
      <c r="M31" s="97">
        <v>70.010201456632487</v>
      </c>
      <c r="N31" s="195">
        <v>3114.0910429749297</v>
      </c>
      <c r="O31" s="22"/>
    </row>
    <row r="32" spans="2:15">
      <c r="B32" s="129"/>
      <c r="C32" s="129" t="s">
        <v>235</v>
      </c>
      <c r="D32" s="97">
        <v>522.65897189175632</v>
      </c>
      <c r="E32" s="97">
        <v>6.4903866785475053</v>
      </c>
      <c r="F32" s="97">
        <v>210.77347044971177</v>
      </c>
      <c r="G32" s="97">
        <v>402.1</v>
      </c>
      <c r="H32" s="97">
        <v>180.60608478614748</v>
      </c>
      <c r="I32" s="97">
        <v>813.23561212158415</v>
      </c>
      <c r="J32" s="97">
        <v>108.55292451169004</v>
      </c>
      <c r="K32" s="97">
        <v>5.5525625110135559</v>
      </c>
      <c r="L32" s="97">
        <v>0</v>
      </c>
      <c r="M32" s="97">
        <v>81.850623828118771</v>
      </c>
      <c r="N32" s="195">
        <v>2331.8206367785697</v>
      </c>
      <c r="O32" s="22"/>
    </row>
    <row r="33" spans="2:15">
      <c r="B33" s="129"/>
      <c r="C33" s="353" t="s">
        <v>237</v>
      </c>
      <c r="D33" s="97">
        <v>212.50210232652512</v>
      </c>
      <c r="E33" s="97">
        <v>29.086221099872354</v>
      </c>
      <c r="F33" s="97">
        <v>81.025344535427365</v>
      </c>
      <c r="G33" s="97">
        <v>376.79284025652788</v>
      </c>
      <c r="H33" s="97">
        <v>356.5411783141422</v>
      </c>
      <c r="I33" s="97">
        <v>867.47124854625258</v>
      </c>
      <c r="J33" s="97" t="s">
        <v>371</v>
      </c>
      <c r="K33" s="97" t="s">
        <v>371</v>
      </c>
      <c r="L33" s="97">
        <v>116.16940329284685</v>
      </c>
      <c r="M33" s="97" t="s">
        <v>371</v>
      </c>
      <c r="N33" s="354">
        <v>2039.5883383715943</v>
      </c>
      <c r="O33" s="22"/>
    </row>
    <row r="34" spans="2:15">
      <c r="B34" s="22"/>
      <c r="C34" s="22"/>
      <c r="D34" s="22"/>
      <c r="E34" s="22"/>
      <c r="F34" s="22"/>
      <c r="G34" s="22"/>
      <c r="H34" s="22"/>
      <c r="I34" s="22"/>
      <c r="J34" s="22"/>
      <c r="K34" s="22"/>
      <c r="L34" s="22"/>
      <c r="M34" s="22"/>
      <c r="N34" s="22"/>
      <c r="O34" s="22"/>
    </row>
    <row r="35" spans="2:15">
      <c r="B35" s="22" t="s">
        <v>372</v>
      </c>
      <c r="C35" s="22"/>
      <c r="D35" s="22"/>
      <c r="E35" s="22"/>
      <c r="F35" s="22"/>
      <c r="G35" s="22"/>
      <c r="H35" s="22"/>
      <c r="I35" s="22"/>
      <c r="J35" s="22"/>
      <c r="K35" s="22"/>
      <c r="L35" s="22"/>
      <c r="M35" s="22"/>
      <c r="N35" s="22"/>
      <c r="O35" s="22"/>
    </row>
    <row r="36" spans="2:15">
      <c r="B36" s="22" t="s">
        <v>373</v>
      </c>
      <c r="C36" s="22"/>
      <c r="D36" s="22"/>
      <c r="E36" s="22"/>
      <c r="F36" s="22"/>
      <c r="G36" s="22"/>
      <c r="H36" s="22"/>
      <c r="I36" s="22"/>
      <c r="J36" s="22"/>
      <c r="K36" s="22"/>
      <c r="L36" s="22"/>
      <c r="M36" s="22"/>
      <c r="N36" s="22"/>
      <c r="O36" s="22"/>
    </row>
    <row r="37" spans="2:15">
      <c r="B37" s="22" t="s">
        <v>374</v>
      </c>
      <c r="C37" s="22"/>
      <c r="D37" s="22"/>
      <c r="E37" s="22"/>
      <c r="F37" s="22"/>
      <c r="G37" s="22"/>
      <c r="H37" s="22"/>
      <c r="I37" s="22"/>
      <c r="J37" s="22"/>
      <c r="K37" s="22"/>
      <c r="L37" s="22"/>
      <c r="M37" s="22"/>
      <c r="N37" s="22"/>
      <c r="O37" s="22"/>
    </row>
    <row r="38" spans="2:15">
      <c r="B38" s="22" t="s">
        <v>375</v>
      </c>
      <c r="C38" s="22"/>
      <c r="D38" s="22"/>
      <c r="E38" s="22"/>
      <c r="F38" s="22"/>
      <c r="G38" s="22"/>
      <c r="H38" s="22"/>
      <c r="I38" s="22"/>
      <c r="J38" s="22"/>
      <c r="K38" s="22"/>
      <c r="L38" s="22"/>
      <c r="M38" s="22"/>
      <c r="N38" s="22"/>
      <c r="O38" s="22"/>
    </row>
    <row r="39" spans="2:15">
      <c r="B39" s="22"/>
      <c r="C39" s="22"/>
      <c r="D39" s="22"/>
      <c r="E39" s="22"/>
      <c r="F39" s="22"/>
      <c r="G39" s="22"/>
      <c r="H39" s="22"/>
      <c r="I39" s="22"/>
      <c r="J39" s="22"/>
      <c r="K39" s="22"/>
      <c r="L39" s="22"/>
      <c r="M39" s="22"/>
      <c r="N39" s="22"/>
      <c r="O39" s="22"/>
    </row>
    <row r="40" spans="2:15">
      <c r="B40" s="22"/>
      <c r="C40" s="22"/>
      <c r="D40" s="22"/>
      <c r="E40" s="22"/>
      <c r="F40" s="22"/>
      <c r="G40" s="22"/>
      <c r="H40" s="22"/>
      <c r="I40" s="22"/>
      <c r="J40" s="22"/>
      <c r="K40" s="22"/>
      <c r="L40" s="22"/>
      <c r="M40" s="22"/>
      <c r="N40" s="22"/>
      <c r="O40" s="22"/>
    </row>
    <row r="41" spans="2:15">
      <c r="B41" s="1" t="s">
        <v>376</v>
      </c>
      <c r="C41" s="85"/>
      <c r="D41" s="22"/>
      <c r="E41" s="22"/>
      <c r="F41" s="22"/>
      <c r="G41" s="22"/>
      <c r="H41" s="22"/>
      <c r="I41" s="22"/>
      <c r="J41" s="22"/>
      <c r="K41" s="22"/>
      <c r="L41" s="22"/>
      <c r="M41" s="22"/>
      <c r="N41" s="22"/>
      <c r="O41" s="22"/>
    </row>
    <row r="42" spans="2:15">
      <c r="B42" s="22"/>
      <c r="C42" s="22"/>
      <c r="D42" s="22"/>
      <c r="E42" s="22"/>
      <c r="F42" s="22"/>
      <c r="G42" s="22"/>
      <c r="H42" s="22"/>
      <c r="I42" s="22"/>
      <c r="J42" s="22"/>
      <c r="K42" s="22"/>
      <c r="L42" s="22"/>
      <c r="M42" s="22"/>
      <c r="N42" s="22"/>
      <c r="O42" s="22"/>
    </row>
    <row r="43" spans="2:15">
      <c r="B43" s="22"/>
      <c r="C43" s="86"/>
      <c r="D43" s="86" t="s">
        <v>377</v>
      </c>
      <c r="E43" s="558" t="s">
        <v>111</v>
      </c>
      <c r="F43" s="559"/>
      <c r="G43" s="558" t="s">
        <v>35</v>
      </c>
      <c r="H43" s="559"/>
      <c r="I43" s="558" t="s">
        <v>36</v>
      </c>
      <c r="J43" s="559"/>
      <c r="K43" s="22"/>
      <c r="L43" s="22"/>
      <c r="M43" s="22"/>
      <c r="N43" s="22"/>
      <c r="O43" s="22"/>
    </row>
    <row r="44" spans="2:15">
      <c r="B44" s="22"/>
      <c r="C44" s="86"/>
      <c r="D44" s="86">
        <v>2022</v>
      </c>
      <c r="E44" s="86">
        <v>2030</v>
      </c>
      <c r="F44" s="86">
        <v>2040</v>
      </c>
      <c r="G44" s="86">
        <v>2040</v>
      </c>
      <c r="H44" s="86">
        <v>2050</v>
      </c>
      <c r="I44" s="86">
        <v>2040</v>
      </c>
      <c r="J44" s="86">
        <v>2050</v>
      </c>
      <c r="K44" s="22"/>
      <c r="L44" s="22"/>
      <c r="M44" s="22"/>
      <c r="N44" s="22"/>
      <c r="O44" s="22"/>
    </row>
    <row r="45" spans="2:15">
      <c r="B45" s="87" t="s">
        <v>378</v>
      </c>
      <c r="C45" s="88" t="s">
        <v>379</v>
      </c>
      <c r="D45" s="86"/>
      <c r="E45" s="98">
        <v>9.6510638782389719</v>
      </c>
      <c r="F45" s="89">
        <v>174.11684649940685</v>
      </c>
      <c r="G45" s="86"/>
      <c r="H45" s="86"/>
      <c r="I45" s="86"/>
      <c r="J45" s="86"/>
      <c r="K45" s="22"/>
      <c r="L45" s="22"/>
      <c r="M45" s="22"/>
      <c r="N45" s="22"/>
      <c r="O45" s="22"/>
    </row>
    <row r="46" spans="2:15">
      <c r="B46" s="124" t="s">
        <v>380</v>
      </c>
      <c r="C46" s="125" t="s">
        <v>381</v>
      </c>
      <c r="D46" s="126">
        <v>0</v>
      </c>
      <c r="E46" s="126">
        <v>45.176000000000002</v>
      </c>
      <c r="F46" s="126">
        <v>178.733</v>
      </c>
      <c r="G46" s="126">
        <v>134.75527954610001</v>
      </c>
      <c r="H46" s="126">
        <v>111.0801105092</v>
      </c>
      <c r="I46" s="126">
        <v>196.32752626839999</v>
      </c>
      <c r="J46" s="126">
        <v>191.57737237359999</v>
      </c>
      <c r="K46" s="127"/>
      <c r="L46" s="127"/>
      <c r="M46" s="127"/>
      <c r="N46" s="127"/>
      <c r="O46" s="127"/>
    </row>
    <row r="47" spans="2:15">
      <c r="B47" s="124" t="s">
        <v>378</v>
      </c>
      <c r="C47" s="125" t="s">
        <v>382</v>
      </c>
      <c r="D47" s="126">
        <v>0</v>
      </c>
      <c r="E47" s="126">
        <v>62.195999999999998</v>
      </c>
      <c r="F47" s="126">
        <v>325.935</v>
      </c>
      <c r="G47" s="126">
        <v>387.75380750900001</v>
      </c>
      <c r="H47" s="126">
        <v>317.73088840260004</v>
      </c>
      <c r="I47" s="126">
        <v>473.49448192760002</v>
      </c>
      <c r="J47" s="126">
        <v>545.57924566290001</v>
      </c>
      <c r="K47" s="127"/>
      <c r="L47" s="127"/>
      <c r="M47" s="127"/>
      <c r="N47" s="127"/>
      <c r="O47" s="127"/>
    </row>
    <row r="48" spans="2:15">
      <c r="B48" s="124" t="s">
        <v>378</v>
      </c>
      <c r="C48" s="125" t="s">
        <v>383</v>
      </c>
      <c r="D48" s="126">
        <v>0</v>
      </c>
      <c r="E48" s="126">
        <v>59.835000000000001</v>
      </c>
      <c r="F48" s="126">
        <v>205.797</v>
      </c>
      <c r="G48" s="126">
        <v>135.41159478368999</v>
      </c>
      <c r="H48" s="126">
        <v>135.29221777552002</v>
      </c>
      <c r="I48" s="126">
        <v>153.65789791980001</v>
      </c>
      <c r="J48" s="126">
        <v>244.2454996603</v>
      </c>
      <c r="K48" s="127"/>
      <c r="L48" s="127"/>
      <c r="M48" s="127"/>
      <c r="N48" s="127"/>
      <c r="O48" s="127"/>
    </row>
    <row r="49" spans="2:15">
      <c r="B49" s="44" t="s">
        <v>384</v>
      </c>
      <c r="C49" s="86" t="s">
        <v>385</v>
      </c>
      <c r="D49" s="89">
        <v>225.84407999999999</v>
      </c>
      <c r="E49" s="89">
        <v>9.1072976519999997</v>
      </c>
      <c r="F49" s="89">
        <v>24.464786927000002</v>
      </c>
      <c r="G49" s="89">
        <v>22.299415236945002</v>
      </c>
      <c r="H49" s="89">
        <v>0</v>
      </c>
      <c r="I49" s="89">
        <v>14.535863122448001</v>
      </c>
      <c r="J49" s="89">
        <v>0.140202256522</v>
      </c>
      <c r="K49" s="22"/>
      <c r="L49" s="127"/>
      <c r="M49" s="22"/>
      <c r="N49" s="22"/>
      <c r="O49" s="22"/>
    </row>
    <row r="50" spans="2:15">
      <c r="B50" s="44" t="s">
        <v>380</v>
      </c>
      <c r="C50" s="86" t="s">
        <v>386</v>
      </c>
      <c r="D50" s="89">
        <v>0.49995000000000001</v>
      </c>
      <c r="E50" s="89">
        <v>104.763792392</v>
      </c>
      <c r="F50" s="89">
        <v>69.44759640800001</v>
      </c>
      <c r="G50" s="89">
        <v>84.89642478195519</v>
      </c>
      <c r="H50" s="89">
        <v>0</v>
      </c>
      <c r="I50" s="89">
        <v>74.936289637708796</v>
      </c>
      <c r="J50" s="89">
        <v>4.6927470185433275</v>
      </c>
      <c r="K50" s="22"/>
      <c r="L50" s="127"/>
      <c r="M50" s="22"/>
      <c r="N50" s="22"/>
      <c r="O50" s="22"/>
    </row>
    <row r="51" spans="2:15">
      <c r="B51" s="120" t="s">
        <v>378</v>
      </c>
      <c r="C51" s="121" t="s">
        <v>387</v>
      </c>
      <c r="D51" s="122">
        <v>0.53327999999999998</v>
      </c>
      <c r="E51" s="122">
        <v>192.85562859166669</v>
      </c>
      <c r="F51" s="122">
        <v>709.81421251388235</v>
      </c>
      <c r="G51" s="122">
        <v>959.00331007524187</v>
      </c>
      <c r="H51" s="122">
        <v>1795.4778873964967</v>
      </c>
      <c r="I51" s="122">
        <v>1163.0827031370343</v>
      </c>
      <c r="J51" s="122">
        <v>2082.5118539387477</v>
      </c>
      <c r="K51" s="123"/>
      <c r="L51" s="127"/>
      <c r="M51" s="123"/>
      <c r="N51" s="123"/>
      <c r="O51" s="123"/>
    </row>
    <row r="52" spans="2:15">
      <c r="B52" s="22"/>
      <c r="C52" s="90" t="s">
        <v>388</v>
      </c>
      <c r="D52" s="22">
        <v>22.564409999999999</v>
      </c>
      <c r="E52" s="22"/>
      <c r="F52" s="22"/>
      <c r="G52" s="22"/>
      <c r="H52" s="22"/>
      <c r="I52" s="22"/>
      <c r="J52" s="22"/>
      <c r="K52" s="22"/>
      <c r="L52" s="22"/>
      <c r="M52" s="22"/>
      <c r="N52" s="22"/>
      <c r="O52" s="22"/>
    </row>
    <row r="53" spans="2:15">
      <c r="B53" s="22"/>
      <c r="C53" s="54" t="s">
        <v>389</v>
      </c>
      <c r="D53" s="22"/>
      <c r="E53" s="22"/>
      <c r="F53" s="22"/>
      <c r="G53" s="22"/>
      <c r="H53" s="22"/>
      <c r="I53" s="22"/>
      <c r="J53" s="22"/>
      <c r="K53" s="22"/>
      <c r="L53" s="22"/>
      <c r="M53" s="22"/>
      <c r="N53" s="22"/>
      <c r="O53" s="22"/>
    </row>
    <row r="54" spans="2:15">
      <c r="B54" s="22"/>
      <c r="C54" s="22"/>
      <c r="D54" s="22"/>
      <c r="E54" s="22"/>
      <c r="F54" s="22"/>
      <c r="G54" s="22"/>
      <c r="H54" s="22"/>
      <c r="I54" s="22"/>
      <c r="J54" s="22"/>
      <c r="K54" s="22"/>
      <c r="L54" s="22"/>
      <c r="M54" s="22"/>
      <c r="N54" s="22"/>
      <c r="O54" s="22"/>
    </row>
    <row r="55" spans="2:15">
      <c r="B55" s="22"/>
      <c r="C55" s="22"/>
      <c r="D55" s="22"/>
      <c r="E55" s="22"/>
      <c r="F55" s="22"/>
      <c r="G55" s="22"/>
      <c r="H55" s="22"/>
      <c r="I55" s="22"/>
      <c r="J55" s="22"/>
      <c r="K55" s="22"/>
      <c r="L55" s="22"/>
      <c r="M55" s="22"/>
      <c r="N55" s="22"/>
      <c r="O55" s="22"/>
    </row>
    <row r="56" spans="2:15">
      <c r="B56" s="22"/>
      <c r="C56" s="45" t="s">
        <v>338</v>
      </c>
      <c r="D56" s="45"/>
      <c r="E56" s="91">
        <f t="shared" ref="E56:J56" si="0">SUMIF($B$45:$B$51,"Y",E45:E51)</f>
        <v>324.53769246990566</v>
      </c>
      <c r="F56" s="91">
        <f t="shared" si="0"/>
        <v>1415.6630590132891</v>
      </c>
      <c r="G56" s="91">
        <f t="shared" si="0"/>
        <v>1482.1687123679319</v>
      </c>
      <c r="H56" s="91">
        <f t="shared" si="0"/>
        <v>2248.5009935746166</v>
      </c>
      <c r="I56" s="91">
        <f t="shared" si="0"/>
        <v>1790.2350829844343</v>
      </c>
      <c r="J56" s="91">
        <f t="shared" si="0"/>
        <v>2872.3365992619474</v>
      </c>
      <c r="K56" s="22"/>
      <c r="L56" s="22"/>
      <c r="M56" s="22"/>
      <c r="N56" s="22"/>
      <c r="O56" s="22"/>
    </row>
    <row r="57" spans="2:15">
      <c r="B57" s="22"/>
      <c r="C57" s="45" t="s">
        <v>390</v>
      </c>
      <c r="D57" s="45"/>
      <c r="E57" s="91">
        <f t="shared" ref="E57:J57" si="1">SUMIF($B$45:$B$51,"L",E45:E51)</f>
        <v>149.93979239200002</v>
      </c>
      <c r="F57" s="91">
        <f t="shared" si="1"/>
        <v>248.18059640800001</v>
      </c>
      <c r="G57" s="91">
        <f t="shared" si="1"/>
        <v>219.65170432805519</v>
      </c>
      <c r="H57" s="91">
        <f t="shared" si="1"/>
        <v>111.0801105092</v>
      </c>
      <c r="I57" s="91">
        <f t="shared" si="1"/>
        <v>271.26381590610879</v>
      </c>
      <c r="J57" s="91">
        <f t="shared" si="1"/>
        <v>196.2701193921433</v>
      </c>
      <c r="K57" s="22"/>
      <c r="L57" s="22"/>
      <c r="M57" s="22"/>
      <c r="N57" s="22"/>
      <c r="O57" s="22"/>
    </row>
    <row r="58" spans="2:15">
      <c r="B58" s="22"/>
      <c r="C58" s="45" t="s">
        <v>147</v>
      </c>
      <c r="D58" s="45"/>
      <c r="E58" s="91">
        <f t="shared" ref="E58:J58" si="2">SUMIF($B$45:$B$51,"N",E45:E51)</f>
        <v>9.1072976519999997</v>
      </c>
      <c r="F58" s="91">
        <f t="shared" si="2"/>
        <v>24.464786927000002</v>
      </c>
      <c r="G58" s="91">
        <f t="shared" si="2"/>
        <v>22.299415236945002</v>
      </c>
      <c r="H58" s="91">
        <f t="shared" si="2"/>
        <v>0</v>
      </c>
      <c r="I58" s="91">
        <f t="shared" si="2"/>
        <v>14.535863122448001</v>
      </c>
      <c r="J58" s="91">
        <f t="shared" si="2"/>
        <v>0.140202256522</v>
      </c>
      <c r="K58" s="22"/>
      <c r="L58" s="22"/>
      <c r="M58" s="22"/>
      <c r="N58" s="22"/>
      <c r="O58" s="22"/>
    </row>
    <row r="59" spans="2:15">
      <c r="B59" s="22"/>
      <c r="C59" s="92" t="s">
        <v>391</v>
      </c>
      <c r="D59" s="128">
        <f t="shared" ref="D59:J59" si="3">SUM(D45:D51)</f>
        <v>226.87730999999999</v>
      </c>
      <c r="E59" s="128">
        <f t="shared" si="3"/>
        <v>483.58478251390568</v>
      </c>
      <c r="F59" s="128">
        <f t="shared" si="3"/>
        <v>1688.3084423482892</v>
      </c>
      <c r="G59" s="128">
        <f t="shared" si="3"/>
        <v>1724.1198319329321</v>
      </c>
      <c r="H59" s="128">
        <f t="shared" si="3"/>
        <v>2359.5811040838166</v>
      </c>
      <c r="I59" s="128">
        <f t="shared" si="3"/>
        <v>2076.034762012991</v>
      </c>
      <c r="J59" s="128">
        <f t="shared" si="3"/>
        <v>3068.746920910613</v>
      </c>
      <c r="K59" s="22"/>
      <c r="L59" s="22"/>
      <c r="M59" s="22"/>
      <c r="N59" s="22"/>
      <c r="O59" s="22"/>
    </row>
    <row r="60" spans="2:15">
      <c r="B60" s="22"/>
      <c r="C60" s="93" t="s">
        <v>392</v>
      </c>
      <c r="D60" s="93"/>
      <c r="E60" s="94">
        <f t="shared" ref="E60:J60" si="4">E56/E59</f>
        <v>0.67110815766948462</v>
      </c>
      <c r="F60" s="94">
        <f t="shared" si="4"/>
        <v>0.83850973169584209</v>
      </c>
      <c r="G60" s="94">
        <f t="shared" si="4"/>
        <v>0.85966687750830761</v>
      </c>
      <c r="H60" s="94">
        <f t="shared" si="4"/>
        <v>0.9529238006199704</v>
      </c>
      <c r="I60" s="94">
        <f t="shared" si="4"/>
        <v>0.86233386634073694</v>
      </c>
      <c r="J60" s="94">
        <f t="shared" si="4"/>
        <v>0.93599657231089517</v>
      </c>
      <c r="K60" s="22"/>
      <c r="L60" s="22"/>
      <c r="M60" s="22"/>
      <c r="N60" s="22"/>
      <c r="O60" s="22"/>
    </row>
    <row r="61" spans="2:15">
      <c r="B61" s="22"/>
      <c r="C61" s="93" t="s">
        <v>393</v>
      </c>
      <c r="D61" s="93"/>
      <c r="E61" s="94">
        <f t="shared" ref="E61:J61" si="5">E57/E59</f>
        <v>0.31005895514854925</v>
      </c>
      <c r="F61" s="94">
        <f t="shared" si="5"/>
        <v>0.14699955895665756</v>
      </c>
      <c r="G61" s="94">
        <f t="shared" si="5"/>
        <v>0.12739932588200725</v>
      </c>
      <c r="H61" s="94">
        <f t="shared" si="5"/>
        <v>4.7076199380029542E-2</v>
      </c>
      <c r="I61" s="94">
        <f t="shared" si="5"/>
        <v>0.13066439005244909</v>
      </c>
      <c r="J61" s="94">
        <f t="shared" si="5"/>
        <v>6.3957740553562029E-2</v>
      </c>
      <c r="K61" s="22"/>
      <c r="L61" s="22"/>
      <c r="M61" s="22"/>
      <c r="N61" s="22"/>
      <c r="O61" s="22"/>
    </row>
    <row r="62" spans="2:15">
      <c r="B62" s="22"/>
      <c r="C62" s="93" t="s">
        <v>394</v>
      </c>
      <c r="D62" s="93"/>
      <c r="E62" s="94">
        <f t="shared" ref="E62:J62" si="6">E58/E59</f>
        <v>1.8832887181966101E-2</v>
      </c>
      <c r="F62" s="94">
        <f t="shared" si="6"/>
        <v>1.4490709347500286E-2</v>
      </c>
      <c r="G62" s="94">
        <f t="shared" si="6"/>
        <v>1.29337966096851E-2</v>
      </c>
      <c r="H62" s="94">
        <f t="shared" si="6"/>
        <v>0</v>
      </c>
      <c r="I62" s="94">
        <f t="shared" si="6"/>
        <v>7.0017436068139606E-3</v>
      </c>
      <c r="J62" s="94">
        <f t="shared" si="6"/>
        <v>4.5687135542736999E-5</v>
      </c>
      <c r="K62" s="22"/>
      <c r="L62" s="22"/>
      <c r="M62" s="22"/>
      <c r="N62" s="22"/>
      <c r="O62" s="22"/>
    </row>
    <row r="63" spans="2:15">
      <c r="B63" s="22"/>
      <c r="C63" s="22"/>
      <c r="D63" s="22"/>
      <c r="E63" s="22"/>
      <c r="F63" s="22"/>
      <c r="G63" s="22"/>
      <c r="H63" s="22"/>
      <c r="I63" s="22"/>
      <c r="J63" s="22"/>
      <c r="K63" s="22"/>
      <c r="L63" s="22"/>
      <c r="M63" s="22"/>
      <c r="N63" s="22"/>
      <c r="O63" s="22"/>
    </row>
    <row r="64" spans="2:15">
      <c r="B64" s="22"/>
      <c r="C64" s="359" t="s">
        <v>395</v>
      </c>
      <c r="D64" s="360">
        <f t="shared" ref="D64:J64" si="7">D51</f>
        <v>0.53327999999999998</v>
      </c>
      <c r="E64" s="360">
        <f t="shared" si="7"/>
        <v>192.85562859166669</v>
      </c>
      <c r="F64" s="360">
        <f t="shared" si="7"/>
        <v>709.81421251388235</v>
      </c>
      <c r="G64" s="360">
        <f t="shared" si="7"/>
        <v>959.00331007524187</v>
      </c>
      <c r="H64" s="360">
        <f t="shared" si="7"/>
        <v>1795.4778873964967</v>
      </c>
      <c r="I64" s="360">
        <f t="shared" si="7"/>
        <v>1163.0827031370343</v>
      </c>
      <c r="J64" s="360">
        <f t="shared" si="7"/>
        <v>2082.5118539387477</v>
      </c>
      <c r="K64" s="22"/>
      <c r="L64" s="22"/>
      <c r="M64" s="22"/>
      <c r="N64" s="22"/>
      <c r="O64" s="22"/>
    </row>
    <row r="65" spans="1:24">
      <c r="B65" s="22"/>
      <c r="C65" s="243" t="s">
        <v>106</v>
      </c>
      <c r="D65" s="117">
        <f t="shared" ref="D65:J65" si="8">D50</f>
        <v>0.49995000000000001</v>
      </c>
      <c r="E65" s="117">
        <f t="shared" si="8"/>
        <v>104.763792392</v>
      </c>
      <c r="F65" s="117">
        <f t="shared" si="8"/>
        <v>69.44759640800001</v>
      </c>
      <c r="G65" s="117">
        <f t="shared" si="8"/>
        <v>84.89642478195519</v>
      </c>
      <c r="H65" s="117">
        <f t="shared" si="8"/>
        <v>0</v>
      </c>
      <c r="I65" s="117">
        <f t="shared" si="8"/>
        <v>74.936289637708796</v>
      </c>
      <c r="J65" s="117">
        <f t="shared" si="8"/>
        <v>4.6927470185433275</v>
      </c>
      <c r="K65" s="22"/>
      <c r="L65" s="22"/>
      <c r="M65" s="22"/>
      <c r="N65" s="22"/>
      <c r="O65" s="22"/>
    </row>
    <row r="66" spans="1:24">
      <c r="B66" s="22"/>
      <c r="C66" s="243" t="s">
        <v>107</v>
      </c>
      <c r="D66" s="117">
        <f t="shared" ref="D66:J66" si="9">D49</f>
        <v>225.84407999999999</v>
      </c>
      <c r="E66" s="117">
        <f t="shared" si="9"/>
        <v>9.1072976519999997</v>
      </c>
      <c r="F66" s="117">
        <f t="shared" si="9"/>
        <v>24.464786927000002</v>
      </c>
      <c r="G66" s="117">
        <f t="shared" si="9"/>
        <v>22.299415236945002</v>
      </c>
      <c r="H66" s="117">
        <f t="shared" si="9"/>
        <v>0</v>
      </c>
      <c r="I66" s="117">
        <f t="shared" si="9"/>
        <v>14.535863122448001</v>
      </c>
      <c r="J66" s="117">
        <f t="shared" si="9"/>
        <v>0.140202256522</v>
      </c>
      <c r="K66" s="22"/>
      <c r="L66" s="22"/>
      <c r="M66" s="22"/>
      <c r="N66" s="22"/>
      <c r="O66" s="22"/>
    </row>
    <row r="67" spans="1:24">
      <c r="B67" s="22"/>
      <c r="C67" s="22"/>
      <c r="D67" s="22"/>
      <c r="E67" s="22"/>
      <c r="F67" s="22"/>
      <c r="G67" s="22"/>
      <c r="H67" s="22"/>
      <c r="I67" s="22"/>
      <c r="J67" s="22"/>
      <c r="K67" s="22"/>
      <c r="L67" s="22"/>
      <c r="M67" s="22"/>
      <c r="N67" s="22"/>
      <c r="O67" s="22"/>
    </row>
    <row r="68" spans="1:24">
      <c r="B68" s="554"/>
      <c r="C68" s="359" t="s">
        <v>396</v>
      </c>
      <c r="D68" s="360">
        <f t="shared" ref="D68:J68" si="10">D45+D49+D50+D51+D52</f>
        <v>249.44172</v>
      </c>
      <c r="E68" s="360">
        <f t="shared" si="10"/>
        <v>316.37778251390569</v>
      </c>
      <c r="F68" s="360">
        <f t="shared" si="10"/>
        <v>977.84344234828927</v>
      </c>
      <c r="G68" s="360">
        <f t="shared" si="10"/>
        <v>1066.1991500941422</v>
      </c>
      <c r="H68" s="360">
        <f t="shared" si="10"/>
        <v>1795.4778873964967</v>
      </c>
      <c r="I68" s="360">
        <f t="shared" si="10"/>
        <v>1252.5548558971911</v>
      </c>
      <c r="J68" s="360">
        <f t="shared" si="10"/>
        <v>2087.3448032138131</v>
      </c>
      <c r="K68" s="22"/>
      <c r="L68" s="22"/>
      <c r="M68" s="22"/>
      <c r="N68" s="22"/>
      <c r="O68" s="22"/>
    </row>
    <row r="69" spans="1:24">
      <c r="B69" s="554"/>
      <c r="C69" s="361" t="s">
        <v>108</v>
      </c>
      <c r="D69" s="360">
        <f t="shared" ref="D69:J69" si="11">D46+D47+D48</f>
        <v>0</v>
      </c>
      <c r="E69" s="360">
        <f t="shared" si="11"/>
        <v>167.20699999999999</v>
      </c>
      <c r="F69" s="360">
        <f t="shared" si="11"/>
        <v>710.46500000000003</v>
      </c>
      <c r="G69" s="360">
        <f t="shared" si="11"/>
        <v>657.92068183879007</v>
      </c>
      <c r="H69" s="360">
        <f t="shared" si="11"/>
        <v>564.10321668732001</v>
      </c>
      <c r="I69" s="360">
        <f t="shared" si="11"/>
        <v>823.47990611580008</v>
      </c>
      <c r="J69" s="360">
        <f t="shared" si="11"/>
        <v>981.40211769680002</v>
      </c>
      <c r="K69" s="22"/>
      <c r="L69" s="22"/>
      <c r="M69" s="22"/>
      <c r="N69" s="22"/>
      <c r="O69" s="22"/>
    </row>
    <row r="70" spans="1:24">
      <c r="B70" s="22"/>
      <c r="C70" s="22"/>
      <c r="D70" s="22"/>
      <c r="E70" s="22"/>
      <c r="F70" s="22"/>
      <c r="G70" s="22"/>
      <c r="H70" s="22"/>
      <c r="I70" s="22"/>
      <c r="J70" s="22"/>
      <c r="K70" s="22"/>
      <c r="L70" s="22"/>
      <c r="M70" s="22"/>
      <c r="N70" s="22"/>
      <c r="O70" s="22"/>
    </row>
    <row r="71" spans="1:24" s="111" customFormat="1">
      <c r="A71" s="113" t="s">
        <v>188</v>
      </c>
      <c r="B71" s="113"/>
      <c r="C71" s="112"/>
      <c r="D71" s="112"/>
      <c r="E71" s="112"/>
      <c r="F71" s="112"/>
      <c r="G71" s="112"/>
      <c r="H71" s="112"/>
      <c r="I71" s="112"/>
    </row>
    <row r="72" spans="1:24" ht="27">
      <c r="A72" s="100" t="s">
        <v>397</v>
      </c>
      <c r="C72"/>
      <c r="D72"/>
      <c r="E72"/>
      <c r="F72"/>
      <c r="G72"/>
      <c r="H72"/>
      <c r="I72" s="245"/>
      <c r="J72" s="245"/>
      <c r="K72" s="245"/>
    </row>
    <row r="73" spans="1:24">
      <c r="B73" s="180"/>
      <c r="C73" s="180"/>
      <c r="D73" s="553" t="s">
        <v>190</v>
      </c>
      <c r="E73" s="553"/>
      <c r="F73" s="553"/>
      <c r="G73" s="553"/>
      <c r="H73" s="553"/>
      <c r="I73" s="553"/>
      <c r="J73" s="553"/>
      <c r="K73" s="553"/>
      <c r="L73" s="553"/>
      <c r="P73" s="553" t="s">
        <v>186</v>
      </c>
      <c r="Q73" s="553"/>
      <c r="R73" s="553"/>
      <c r="S73" s="553"/>
      <c r="T73" s="553"/>
      <c r="U73" s="553"/>
      <c r="V73" s="553"/>
      <c r="W73" s="553"/>
      <c r="X73" s="553"/>
    </row>
    <row r="74" spans="1:24">
      <c r="B74" s="180"/>
      <c r="C74" s="180"/>
      <c r="D74" s="180" t="s">
        <v>208</v>
      </c>
      <c r="E74" s="180" t="s">
        <v>86</v>
      </c>
      <c r="F74" s="180" t="s">
        <v>193</v>
      </c>
      <c r="G74" s="180" t="s">
        <v>83</v>
      </c>
      <c r="H74" s="180" t="s">
        <v>148</v>
      </c>
      <c r="I74" s="180" t="s">
        <v>139</v>
      </c>
      <c r="J74" s="180" t="s">
        <v>123</v>
      </c>
      <c r="K74" s="180" t="s">
        <v>250</v>
      </c>
      <c r="N74" s="180"/>
      <c r="O74" s="180"/>
      <c r="P74" s="180" t="s">
        <v>208</v>
      </c>
      <c r="Q74" s="180" t="s">
        <v>86</v>
      </c>
      <c r="R74" s="180" t="s">
        <v>193</v>
      </c>
      <c r="S74" s="180" t="s">
        <v>83</v>
      </c>
      <c r="T74" s="180" t="s">
        <v>148</v>
      </c>
      <c r="U74" s="180" t="s">
        <v>139</v>
      </c>
      <c r="V74" s="180" t="s">
        <v>123</v>
      </c>
      <c r="W74" s="180" t="s">
        <v>250</v>
      </c>
    </row>
    <row r="75" spans="1:24">
      <c r="B75" s="180">
        <v>2015</v>
      </c>
      <c r="C75" s="180"/>
      <c r="D75" s="181">
        <v>210.65902499999999</v>
      </c>
      <c r="E75" s="181">
        <v>0</v>
      </c>
      <c r="F75" s="181">
        <v>197.33089299999997</v>
      </c>
      <c r="G75" s="181">
        <v>373.136574</v>
      </c>
      <c r="H75" s="181">
        <v>93.310864999999993</v>
      </c>
      <c r="I75" s="181">
        <v>23.977637999999999</v>
      </c>
      <c r="J75" s="181">
        <v>0</v>
      </c>
      <c r="K75" s="181">
        <v>45.137320000000003</v>
      </c>
      <c r="N75" s="180">
        <v>2015</v>
      </c>
      <c r="O75" s="180"/>
      <c r="P75" s="250">
        <f t="shared" ref="P75:P85" si="12">D75*11.63</f>
        <v>2449.9644607499999</v>
      </c>
      <c r="Q75" s="250">
        <f t="shared" ref="Q75:Q85" si="13">E75*11.63</f>
        <v>0</v>
      </c>
      <c r="R75" s="250">
        <f t="shared" ref="R75:R85" si="14">F75*11.63</f>
        <v>2294.9582855899998</v>
      </c>
      <c r="S75" s="250">
        <f t="shared" ref="S75:S85" si="15">G75*11.63</f>
        <v>4339.5783556200004</v>
      </c>
      <c r="T75" s="250">
        <f t="shared" ref="T75:T85" si="16">H75*11.63</f>
        <v>1085.20535995</v>
      </c>
      <c r="U75" s="250">
        <f t="shared" ref="U75:U85" si="17">I75*11.63</f>
        <v>278.85992994000003</v>
      </c>
      <c r="V75" s="250">
        <f t="shared" ref="V75:V85" si="18">J75*11.63</f>
        <v>0</v>
      </c>
      <c r="W75" s="250">
        <f t="shared" ref="W75:W85" si="19">K75*11.63</f>
        <v>524.94703160000006</v>
      </c>
    </row>
    <row r="76" spans="1:24">
      <c r="B76" s="180">
        <v>2019</v>
      </c>
      <c r="C76" s="180"/>
      <c r="D76" s="181">
        <v>213.14235099999999</v>
      </c>
      <c r="E76" s="181">
        <v>0</v>
      </c>
      <c r="F76" s="181">
        <v>203.68205800000001</v>
      </c>
      <c r="G76" s="181">
        <v>387.41676000000001</v>
      </c>
      <c r="H76" s="181">
        <v>108.838348</v>
      </c>
      <c r="I76" s="181">
        <v>20.267804000000005</v>
      </c>
      <c r="J76" s="181">
        <v>0</v>
      </c>
      <c r="K76" s="181">
        <v>45.951031</v>
      </c>
      <c r="N76" s="180">
        <v>2019</v>
      </c>
      <c r="O76" s="180"/>
      <c r="P76" s="250">
        <f t="shared" si="12"/>
        <v>2478.84554213</v>
      </c>
      <c r="Q76" s="250">
        <f t="shared" si="13"/>
        <v>0</v>
      </c>
      <c r="R76" s="250">
        <f t="shared" si="14"/>
        <v>2368.8223345400002</v>
      </c>
      <c r="S76" s="250">
        <f t="shared" si="15"/>
        <v>4505.6569188000003</v>
      </c>
      <c r="T76" s="250">
        <f t="shared" si="16"/>
        <v>1265.7899872400001</v>
      </c>
      <c r="U76" s="250">
        <f t="shared" si="17"/>
        <v>235.71456052000008</v>
      </c>
      <c r="V76" s="250">
        <f t="shared" si="18"/>
        <v>0</v>
      </c>
      <c r="W76" s="250">
        <f t="shared" si="19"/>
        <v>534.41049053000006</v>
      </c>
    </row>
    <row r="77" spans="1:24">
      <c r="B77" s="180">
        <v>2030</v>
      </c>
      <c r="C77" s="180"/>
      <c r="D77" s="181">
        <v>240.11307606144038</v>
      </c>
      <c r="E77" s="181">
        <v>3.286420793942018</v>
      </c>
      <c r="F77" s="181">
        <v>101.9722016737952</v>
      </c>
      <c r="G77" s="181">
        <v>279.41725475237109</v>
      </c>
      <c r="H77" s="181">
        <v>84.036404876964809</v>
      </c>
      <c r="I77" s="181">
        <v>12.941539249678179</v>
      </c>
      <c r="J77" s="181">
        <v>0.69636676307917023</v>
      </c>
      <c r="K77" s="181">
        <v>40.787049978549042</v>
      </c>
      <c r="N77" s="180">
        <v>2030</v>
      </c>
      <c r="O77" s="180"/>
      <c r="P77" s="250">
        <f t="shared" si="12"/>
        <v>2792.5150745945516</v>
      </c>
      <c r="Q77" s="250">
        <f t="shared" si="13"/>
        <v>38.221073833545674</v>
      </c>
      <c r="R77" s="250">
        <f t="shared" si="14"/>
        <v>1185.9367054662382</v>
      </c>
      <c r="S77" s="250">
        <f t="shared" si="15"/>
        <v>3249.622672770076</v>
      </c>
      <c r="T77" s="250">
        <f t="shared" si="16"/>
        <v>977.34338871910074</v>
      </c>
      <c r="U77" s="250">
        <f t="shared" si="17"/>
        <v>150.51010147375723</v>
      </c>
      <c r="V77" s="250">
        <f t="shared" si="18"/>
        <v>8.09874545461075</v>
      </c>
      <c r="W77" s="250">
        <f t="shared" si="19"/>
        <v>474.35339125052542</v>
      </c>
    </row>
    <row r="78" spans="1:24">
      <c r="B78" s="180">
        <v>2040</v>
      </c>
      <c r="C78" s="180" t="s">
        <v>198</v>
      </c>
      <c r="D78" s="181">
        <v>279.25894070644188</v>
      </c>
      <c r="E78" s="181">
        <v>26.118983795397785</v>
      </c>
      <c r="F78" s="181">
        <v>73.997768959826885</v>
      </c>
      <c r="G78" s="181">
        <v>110.86378100958555</v>
      </c>
      <c r="H78" s="181">
        <v>87.507792658336669</v>
      </c>
      <c r="I78" s="181">
        <v>3.0053189456638139</v>
      </c>
      <c r="J78" s="181">
        <v>5.3910966673008351</v>
      </c>
      <c r="K78" s="181">
        <v>37.61276421290848</v>
      </c>
      <c r="N78" s="180">
        <v>2040</v>
      </c>
      <c r="O78" s="180" t="s">
        <v>198</v>
      </c>
      <c r="P78" s="250">
        <f t="shared" si="12"/>
        <v>3247.7814804159193</v>
      </c>
      <c r="Q78" s="250">
        <f t="shared" si="13"/>
        <v>303.76378154047626</v>
      </c>
      <c r="R78" s="250">
        <f t="shared" si="14"/>
        <v>860.59405300278672</v>
      </c>
      <c r="S78" s="250">
        <f t="shared" si="15"/>
        <v>1289.3457731414801</v>
      </c>
      <c r="T78" s="250">
        <f t="shared" si="16"/>
        <v>1017.7156286164555</v>
      </c>
      <c r="U78" s="250">
        <f t="shared" si="17"/>
        <v>34.951859338070157</v>
      </c>
      <c r="V78" s="250">
        <f t="shared" si="18"/>
        <v>62.69845424070872</v>
      </c>
      <c r="W78" s="250">
        <f t="shared" si="19"/>
        <v>437.43644779612566</v>
      </c>
    </row>
    <row r="79" spans="1:24">
      <c r="B79" s="180"/>
      <c r="C79" s="180" t="s">
        <v>199</v>
      </c>
      <c r="D79" s="181">
        <v>285.73833061986102</v>
      </c>
      <c r="E79" s="181">
        <v>30.574162462916632</v>
      </c>
      <c r="F79" s="181">
        <v>54.122403996328288</v>
      </c>
      <c r="G79" s="181">
        <v>103.9725579191476</v>
      </c>
      <c r="H79" s="181">
        <v>92.676607810123102</v>
      </c>
      <c r="I79" s="181">
        <v>2.306422465635003</v>
      </c>
      <c r="J79" s="181">
        <v>8.1697450153745059</v>
      </c>
      <c r="K79" s="181">
        <v>37.844287145699191</v>
      </c>
      <c r="N79" s="180"/>
      <c r="O79" s="180" t="s">
        <v>199</v>
      </c>
      <c r="P79" s="250">
        <f t="shared" si="12"/>
        <v>3323.136785108984</v>
      </c>
      <c r="Q79" s="250">
        <f t="shared" si="13"/>
        <v>355.57750944372049</v>
      </c>
      <c r="R79" s="250">
        <f t="shared" si="14"/>
        <v>629.44355847729798</v>
      </c>
      <c r="S79" s="250">
        <f t="shared" si="15"/>
        <v>1209.2008485996867</v>
      </c>
      <c r="T79" s="250">
        <f t="shared" si="16"/>
        <v>1077.8289488317319</v>
      </c>
      <c r="U79" s="250">
        <f t="shared" si="17"/>
        <v>26.823693275335085</v>
      </c>
      <c r="V79" s="250">
        <f t="shared" si="18"/>
        <v>95.014134528805513</v>
      </c>
      <c r="W79" s="250">
        <f t="shared" si="19"/>
        <v>440.12905950448163</v>
      </c>
    </row>
    <row r="80" spans="1:24">
      <c r="B80" s="180"/>
      <c r="C80" s="180" t="s">
        <v>200</v>
      </c>
      <c r="D80" s="181">
        <v>286.66425280869078</v>
      </c>
      <c r="E80" s="181">
        <v>34.013701522615222</v>
      </c>
      <c r="F80" s="181">
        <v>40.098959416037587</v>
      </c>
      <c r="G80" s="181">
        <v>97.856716379200748</v>
      </c>
      <c r="H80" s="181">
        <v>92.888080877799467</v>
      </c>
      <c r="I80" s="181">
        <v>1.932103061385243</v>
      </c>
      <c r="J80" s="181">
        <v>13.783601024159816</v>
      </c>
      <c r="K80" s="181">
        <v>36.905520588797977</v>
      </c>
      <c r="N80" s="180"/>
      <c r="O80" s="180" t="s">
        <v>200</v>
      </c>
      <c r="P80" s="250">
        <f t="shared" si="12"/>
        <v>3333.9052601650737</v>
      </c>
      <c r="Q80" s="250">
        <f t="shared" si="13"/>
        <v>395.57934870801506</v>
      </c>
      <c r="R80" s="250">
        <f t="shared" si="14"/>
        <v>466.35089800851716</v>
      </c>
      <c r="S80" s="250">
        <f t="shared" si="15"/>
        <v>1138.0736114901047</v>
      </c>
      <c r="T80" s="250">
        <f t="shared" si="16"/>
        <v>1080.288380608808</v>
      </c>
      <c r="U80" s="250">
        <f t="shared" si="17"/>
        <v>22.470358603910377</v>
      </c>
      <c r="V80" s="250">
        <f t="shared" si="18"/>
        <v>160.30327991097869</v>
      </c>
      <c r="W80" s="250">
        <f t="shared" si="19"/>
        <v>429.21120444772049</v>
      </c>
    </row>
    <row r="81" spans="1:23">
      <c r="B81" s="180"/>
      <c r="C81" s="180" t="s">
        <v>201</v>
      </c>
      <c r="D81" s="181">
        <v>277.31172437203287</v>
      </c>
      <c r="E81" s="181">
        <v>30.688657472258061</v>
      </c>
      <c r="F81" s="181">
        <v>51.411164804405068</v>
      </c>
      <c r="G81" s="181">
        <v>95.728565680828495</v>
      </c>
      <c r="H81" s="181">
        <v>88.865636625455863</v>
      </c>
      <c r="I81" s="181">
        <v>2.092696001941539</v>
      </c>
      <c r="J81" s="181">
        <v>9.4699049148825161</v>
      </c>
      <c r="K81" s="181">
        <v>35.744895713064423</v>
      </c>
      <c r="N81" s="180"/>
      <c r="O81" s="180" t="s">
        <v>201</v>
      </c>
      <c r="P81" s="250">
        <f t="shared" si="12"/>
        <v>3225.1353544467424</v>
      </c>
      <c r="Q81" s="250">
        <f t="shared" si="13"/>
        <v>356.90908640236125</v>
      </c>
      <c r="R81" s="250">
        <f t="shared" si="14"/>
        <v>597.911846675231</v>
      </c>
      <c r="S81" s="250">
        <f t="shared" si="15"/>
        <v>1113.3232188680354</v>
      </c>
      <c r="T81" s="250">
        <f t="shared" si="16"/>
        <v>1033.5073539540517</v>
      </c>
      <c r="U81" s="250">
        <f t="shared" si="17"/>
        <v>24.3380545025801</v>
      </c>
      <c r="V81" s="250">
        <f t="shared" si="18"/>
        <v>110.13499416008366</v>
      </c>
      <c r="W81" s="250">
        <f t="shared" si="19"/>
        <v>415.71313714293927</v>
      </c>
    </row>
    <row r="82" spans="1:23">
      <c r="B82" s="180">
        <v>2050</v>
      </c>
      <c r="C82" s="180" t="s">
        <v>198</v>
      </c>
      <c r="D82" s="181">
        <v>315.13483965148839</v>
      </c>
      <c r="E82" s="181">
        <v>53.650084740657768</v>
      </c>
      <c r="F82" s="181">
        <v>0.59860378747428333</v>
      </c>
      <c r="G82" s="181">
        <v>35.309539984916626</v>
      </c>
      <c r="H82" s="181">
        <v>81.713075204204955</v>
      </c>
      <c r="I82" s="181">
        <v>0.1331308422521118</v>
      </c>
      <c r="J82" s="181">
        <v>43.418622572606694</v>
      </c>
      <c r="K82" s="181">
        <v>30.339083121558939</v>
      </c>
      <c r="N82" s="180">
        <v>2050</v>
      </c>
      <c r="O82" s="180" t="s">
        <v>198</v>
      </c>
      <c r="P82" s="250">
        <f t="shared" si="12"/>
        <v>3665.0181851468101</v>
      </c>
      <c r="Q82" s="250">
        <f t="shared" si="13"/>
        <v>623.95048553384993</v>
      </c>
      <c r="R82" s="250">
        <f t="shared" si="14"/>
        <v>6.9617620483259159</v>
      </c>
      <c r="S82" s="250">
        <f t="shared" si="15"/>
        <v>410.64995002458039</v>
      </c>
      <c r="T82" s="250">
        <f t="shared" si="16"/>
        <v>950.32306462490374</v>
      </c>
      <c r="U82" s="250">
        <f t="shared" si="17"/>
        <v>1.5483116953920604</v>
      </c>
      <c r="V82" s="250">
        <f t="shared" si="18"/>
        <v>504.95858051941588</v>
      </c>
      <c r="W82" s="250">
        <f t="shared" si="19"/>
        <v>352.84353670373048</v>
      </c>
    </row>
    <row r="83" spans="1:23">
      <c r="B83" s="180"/>
      <c r="C83" s="180" t="s">
        <v>199</v>
      </c>
      <c r="D83" s="181">
        <v>317.82814760477436</v>
      </c>
      <c r="E83" s="181">
        <v>56.451659712611068</v>
      </c>
      <c r="F83" s="181">
        <v>0.60640497254709402</v>
      </c>
      <c r="G83" s="181">
        <v>31.12941141473096</v>
      </c>
      <c r="H83" s="181">
        <v>80.364086297070514</v>
      </c>
      <c r="I83" s="181">
        <v>0.13533769136776669</v>
      </c>
      <c r="J83" s="181">
        <v>42.095325836124609</v>
      </c>
      <c r="K83" s="181">
        <v>31.037632602508459</v>
      </c>
      <c r="N83" s="180"/>
      <c r="O83" s="180" t="s">
        <v>199</v>
      </c>
      <c r="P83" s="250">
        <f t="shared" si="12"/>
        <v>3696.3413566435261</v>
      </c>
      <c r="Q83" s="250">
        <f t="shared" si="13"/>
        <v>656.53280245766678</v>
      </c>
      <c r="R83" s="250">
        <f t="shared" si="14"/>
        <v>7.0524898307227035</v>
      </c>
      <c r="S83" s="250">
        <f t="shared" si="15"/>
        <v>362.03505475332111</v>
      </c>
      <c r="T83" s="250">
        <f t="shared" si="16"/>
        <v>934.63432363493018</v>
      </c>
      <c r="U83" s="250">
        <f t="shared" si="17"/>
        <v>1.5739773506071266</v>
      </c>
      <c r="V83" s="250">
        <f t="shared" si="18"/>
        <v>489.56863947412921</v>
      </c>
      <c r="W83" s="250">
        <f t="shared" si="19"/>
        <v>360.96766716717343</v>
      </c>
    </row>
    <row r="84" spans="1:23">
      <c r="B84" s="180"/>
      <c r="C84" s="180" t="s">
        <v>200</v>
      </c>
      <c r="D84" s="181">
        <v>317.70561731194147</v>
      </c>
      <c r="E84" s="181">
        <v>56.830387921728416</v>
      </c>
      <c r="F84" s="181">
        <v>0.56268903843461526</v>
      </c>
      <c r="G84" s="181">
        <v>30.620519580086075</v>
      </c>
      <c r="H84" s="181">
        <v>79.158148776046971</v>
      </c>
      <c r="I84" s="181">
        <v>0.14546586719286991</v>
      </c>
      <c r="J84" s="181">
        <v>38.644222675562517</v>
      </c>
      <c r="K84" s="181">
        <v>30.896126573845521</v>
      </c>
      <c r="N84" s="180"/>
      <c r="O84" s="180" t="s">
        <v>200</v>
      </c>
      <c r="P84" s="250">
        <f t="shared" si="12"/>
        <v>3694.9163293378797</v>
      </c>
      <c r="Q84" s="250">
        <f t="shared" si="13"/>
        <v>660.93741152970154</v>
      </c>
      <c r="R84" s="250">
        <f t="shared" si="14"/>
        <v>6.5440735169945761</v>
      </c>
      <c r="S84" s="250">
        <f t="shared" si="15"/>
        <v>356.11664271640109</v>
      </c>
      <c r="T84" s="250">
        <f t="shared" si="16"/>
        <v>920.60927026542629</v>
      </c>
      <c r="U84" s="250">
        <f t="shared" si="17"/>
        <v>1.6917680354530773</v>
      </c>
      <c r="V84" s="250">
        <f t="shared" si="18"/>
        <v>449.43230971679208</v>
      </c>
      <c r="W84" s="250">
        <f t="shared" si="19"/>
        <v>359.32195205382345</v>
      </c>
    </row>
    <row r="85" spans="1:23">
      <c r="B85" s="180"/>
      <c r="C85" s="180" t="s">
        <v>201</v>
      </c>
      <c r="D85" s="181">
        <v>301.20068222360095</v>
      </c>
      <c r="E85" s="181">
        <v>52.564485699275977</v>
      </c>
      <c r="F85" s="181">
        <v>7.0764569874462069</v>
      </c>
      <c r="G85" s="181">
        <v>26.420343853764543</v>
      </c>
      <c r="H85" s="181">
        <v>74.468612472030415</v>
      </c>
      <c r="I85" s="181">
        <v>0.1194372282565913</v>
      </c>
      <c r="J85" s="181">
        <v>33.484777456309047</v>
      </c>
      <c r="K85" s="181">
        <v>28.68179651216596</v>
      </c>
      <c r="N85" s="180"/>
      <c r="O85" s="180" t="s">
        <v>201</v>
      </c>
      <c r="P85" s="250">
        <f t="shared" si="12"/>
        <v>3502.9639342604792</v>
      </c>
      <c r="Q85" s="250">
        <f t="shared" si="13"/>
        <v>611.32496868257965</v>
      </c>
      <c r="R85" s="250">
        <f t="shared" si="14"/>
        <v>82.299194763999395</v>
      </c>
      <c r="S85" s="250">
        <f t="shared" si="15"/>
        <v>307.26859901928162</v>
      </c>
      <c r="T85" s="250">
        <f t="shared" si="16"/>
        <v>866.06996304971381</v>
      </c>
      <c r="U85" s="250">
        <f t="shared" si="17"/>
        <v>1.3890549646241568</v>
      </c>
      <c r="V85" s="250">
        <f t="shared" si="18"/>
        <v>389.42796181687424</v>
      </c>
      <c r="W85" s="250">
        <f t="shared" si="19"/>
        <v>333.56929343649011</v>
      </c>
    </row>
    <row r="86" spans="1:23">
      <c r="B86" s="180"/>
      <c r="C86" s="180"/>
      <c r="D86" s="181"/>
      <c r="E86" s="181"/>
      <c r="F86" s="181"/>
      <c r="G86" s="181"/>
      <c r="H86" s="181"/>
      <c r="I86" s="181"/>
      <c r="J86" s="181"/>
      <c r="K86" s="181"/>
      <c r="N86" s="180"/>
      <c r="O86" s="180"/>
      <c r="P86" s="250"/>
      <c r="Q86" s="250"/>
      <c r="R86" s="250"/>
      <c r="S86" s="250"/>
      <c r="T86" s="250"/>
      <c r="U86" s="250"/>
      <c r="V86" s="250"/>
      <c r="W86" s="250"/>
    </row>
    <row r="87" spans="1:23">
      <c r="B87" s="419" t="s">
        <v>398</v>
      </c>
    </row>
    <row r="89" spans="1:23" ht="23.45">
      <c r="A89" s="191" t="s">
        <v>399</v>
      </c>
      <c r="C89" s="190"/>
      <c r="D89" s="190"/>
      <c r="E89" s="190"/>
      <c r="F89" s="190"/>
      <c r="G89" s="190"/>
      <c r="H89" s="190"/>
      <c r="I89" s="201"/>
      <c r="J89" s="201"/>
      <c r="K89" s="201"/>
      <c r="L89" s="22"/>
      <c r="M89" s="22"/>
    </row>
    <row r="90" spans="1:23" ht="23.45" customHeight="1">
      <c r="B90" s="190"/>
      <c r="C90" s="190"/>
      <c r="D90" s="553" t="s">
        <v>190</v>
      </c>
      <c r="E90" s="553"/>
      <c r="F90" s="553"/>
      <c r="G90" s="553"/>
      <c r="H90" s="553"/>
      <c r="I90" s="553"/>
      <c r="J90" s="553"/>
      <c r="K90" s="553"/>
      <c r="L90" s="553"/>
      <c r="M90" s="22"/>
    </row>
    <row r="91" spans="1:23" ht="43.15">
      <c r="B91" s="202"/>
      <c r="C91" s="202"/>
      <c r="D91" s="204" t="s">
        <v>354</v>
      </c>
      <c r="E91" s="204" t="s">
        <v>364</v>
      </c>
      <c r="F91" s="204" t="s">
        <v>365</v>
      </c>
      <c r="G91" s="204" t="s">
        <v>366</v>
      </c>
      <c r="H91" s="204" t="s">
        <v>353</v>
      </c>
      <c r="I91" s="204" t="s">
        <v>367</v>
      </c>
      <c r="J91" s="204" t="s">
        <v>109</v>
      </c>
      <c r="K91" s="202"/>
      <c r="L91" s="347" t="s">
        <v>170</v>
      </c>
      <c r="M91" s="241"/>
    </row>
    <row r="92" spans="1:23">
      <c r="B92" s="202">
        <v>2040</v>
      </c>
      <c r="C92" s="202" t="s">
        <v>198</v>
      </c>
      <c r="D92" s="203">
        <v>12.291672840214771</v>
      </c>
      <c r="E92" s="203">
        <v>9.2031457702031569E-2</v>
      </c>
      <c r="F92" s="203">
        <v>0.32283161115218162</v>
      </c>
      <c r="G92" s="203">
        <v>4.4794197493790877</v>
      </c>
      <c r="H92" s="203">
        <v>13.459740081871979</v>
      </c>
      <c r="I92" s="203">
        <v>15.781075416193801</v>
      </c>
      <c r="J92" s="203">
        <v>7.3557485076997455</v>
      </c>
      <c r="L92" s="356">
        <f>SUM(D92:J92)</f>
        <v>53.782519664213595</v>
      </c>
      <c r="M92" s="42"/>
    </row>
    <row r="93" spans="1:23">
      <c r="B93" s="202"/>
      <c r="C93" s="202" t="s">
        <v>199</v>
      </c>
      <c r="D93" s="203">
        <v>14.812659826416329</v>
      </c>
      <c r="E93" s="203">
        <v>0.27182296842921261</v>
      </c>
      <c r="F93" s="203">
        <v>0.35248733724728187</v>
      </c>
      <c r="G93" s="203">
        <v>4.4794197493790877</v>
      </c>
      <c r="H93" s="203">
        <v>13.978551435664651</v>
      </c>
      <c r="I93" s="203">
        <v>29.054027323105871</v>
      </c>
      <c r="J93" s="203">
        <v>5.7899899360888405</v>
      </c>
      <c r="L93" s="356">
        <f t="shared" ref="L93:L99" si="20">SUM(D93:J93)</f>
        <v>68.738958576331271</v>
      </c>
      <c r="M93" s="42"/>
    </row>
    <row r="94" spans="1:23">
      <c r="B94" s="202"/>
      <c r="C94" s="202" t="s">
        <v>200</v>
      </c>
      <c r="D94" s="203">
        <v>16.27442463202701</v>
      </c>
      <c r="E94" s="203">
        <v>0.4312292214530935</v>
      </c>
      <c r="F94" s="203">
        <v>0.99098503782869007</v>
      </c>
      <c r="G94" s="203">
        <v>4.4794197493790877</v>
      </c>
      <c r="H94" s="203">
        <v>14.526639058251691</v>
      </c>
      <c r="I94" s="203">
        <v>49.995574660974142</v>
      </c>
      <c r="J94" s="203">
        <v>5.973544945198574</v>
      </c>
      <c r="L94" s="356">
        <f t="shared" si="20"/>
        <v>92.671817305112285</v>
      </c>
      <c r="M94" s="42"/>
    </row>
    <row r="95" spans="1:23">
      <c r="B95" s="202"/>
      <c r="C95" s="202" t="s">
        <v>201</v>
      </c>
      <c r="D95" s="203">
        <v>13.851400084269081</v>
      </c>
      <c r="E95" s="203">
        <v>0.2149811606352425</v>
      </c>
      <c r="F95" s="203">
        <v>0.30390478977295038</v>
      </c>
      <c r="G95" s="203">
        <v>4.4794197493790877</v>
      </c>
      <c r="H95" s="203">
        <v>12.9267808035478</v>
      </c>
      <c r="I95" s="203">
        <v>27.635050900760479</v>
      </c>
      <c r="J95" s="203">
        <v>5.7864782823968257</v>
      </c>
      <c r="L95" s="356">
        <f t="shared" si="20"/>
        <v>65.198015770761472</v>
      </c>
      <c r="M95" s="42"/>
    </row>
    <row r="96" spans="1:23">
      <c r="B96" s="202">
        <v>2050</v>
      </c>
      <c r="C96" s="202" t="s">
        <v>198</v>
      </c>
      <c r="D96" s="203">
        <v>18.302536579196619</v>
      </c>
      <c r="E96" s="203">
        <v>0.65845622915938851</v>
      </c>
      <c r="F96" s="203">
        <v>6.0618590292330046</v>
      </c>
      <c r="G96" s="203">
        <v>32.121251500120543</v>
      </c>
      <c r="H96" s="203">
        <v>28.49811778828531</v>
      </c>
      <c r="I96" s="203">
        <v>72.649404730086545</v>
      </c>
      <c r="J96" s="203">
        <v>11.047764935828278</v>
      </c>
      <c r="L96" s="356">
        <f t="shared" si="20"/>
        <v>169.33939079190966</v>
      </c>
      <c r="M96" s="42"/>
    </row>
    <row r="97" spans="2:14">
      <c r="B97" s="202"/>
      <c r="C97" s="202" t="s">
        <v>199</v>
      </c>
      <c r="D97" s="203">
        <v>18.351189455218229</v>
      </c>
      <c r="E97" s="203">
        <v>1.5749446997938961</v>
      </c>
      <c r="F97" s="203">
        <v>5.8030798470024134</v>
      </c>
      <c r="G97" s="203">
        <v>32.138822684424198</v>
      </c>
      <c r="H97" s="203">
        <v>30.86378153414686</v>
      </c>
      <c r="I97" s="203">
        <v>69.790851320129732</v>
      </c>
      <c r="J97" s="203">
        <v>10.275669024652457</v>
      </c>
      <c r="L97" s="356">
        <f t="shared" si="20"/>
        <v>168.79833856536777</v>
      </c>
      <c r="M97" s="42"/>
    </row>
    <row r="98" spans="2:14">
      <c r="B98" s="202"/>
      <c r="C98" s="202" t="s">
        <v>200</v>
      </c>
      <c r="D98" s="203">
        <v>18.271891859546439</v>
      </c>
      <c r="E98" s="203">
        <v>2.500964840917657</v>
      </c>
      <c r="F98" s="203">
        <v>6.9669255834417338</v>
      </c>
      <c r="G98" s="203">
        <v>32.398352558600848</v>
      </c>
      <c r="H98" s="203">
        <v>30.65702307086347</v>
      </c>
      <c r="I98" s="203">
        <v>74.589101336737102</v>
      </c>
      <c r="J98" s="203">
        <v>9.9887707044580267</v>
      </c>
      <c r="L98" s="356">
        <f t="shared" si="20"/>
        <v>175.37302995456528</v>
      </c>
      <c r="M98" s="42"/>
    </row>
    <row r="99" spans="2:14">
      <c r="B99" s="202"/>
      <c r="C99" s="202" t="s">
        <v>201</v>
      </c>
      <c r="D99" s="203">
        <v>16.23477896535622</v>
      </c>
      <c r="E99" s="203">
        <v>1.35964878290706</v>
      </c>
      <c r="F99" s="203">
        <v>4.8469440606697161</v>
      </c>
      <c r="G99" s="203">
        <v>28.994552864106069</v>
      </c>
      <c r="H99" s="203">
        <v>28.69298201176348</v>
      </c>
      <c r="I99" s="203">
        <v>65.601039794974909</v>
      </c>
      <c r="J99" s="203">
        <v>11.535153049337078</v>
      </c>
      <c r="L99" s="356">
        <f t="shared" si="20"/>
        <v>157.26509952911454</v>
      </c>
      <c r="M99" s="42"/>
    </row>
    <row r="100" spans="2:14">
      <c r="B100" s="190"/>
      <c r="C100" s="190"/>
      <c r="D100" s="190"/>
      <c r="E100" s="190"/>
      <c r="F100" s="190"/>
      <c r="G100" s="190"/>
      <c r="H100" s="190"/>
      <c r="I100" s="190"/>
      <c r="J100" s="190"/>
      <c r="L100" s="357"/>
      <c r="M100" s="42"/>
    </row>
    <row r="101" spans="2:14">
      <c r="B101" s="190"/>
      <c r="C101" s="190"/>
      <c r="D101" s="553" t="s">
        <v>186</v>
      </c>
      <c r="E101" s="553"/>
      <c r="F101" s="553"/>
      <c r="G101" s="553"/>
      <c r="H101" s="553"/>
      <c r="I101" s="553"/>
      <c r="J101" s="553"/>
      <c r="K101" s="553"/>
      <c r="L101" s="553"/>
      <c r="M101" s="42"/>
    </row>
    <row r="102" spans="2:14">
      <c r="B102" s="202">
        <v>2040</v>
      </c>
      <c r="C102" s="202" t="s">
        <v>198</v>
      </c>
      <c r="D102" s="193">
        <f t="shared" ref="D102:D109" si="21">D92*11.63</f>
        <v>142.95215513169779</v>
      </c>
      <c r="E102" s="193">
        <f t="shared" ref="E102:J102" si="22">E92*11.63</f>
        <v>1.0703258530746271</v>
      </c>
      <c r="F102" s="193">
        <f t="shared" si="22"/>
        <v>3.7545316376998725</v>
      </c>
      <c r="G102" s="193">
        <f t="shared" si="22"/>
        <v>52.095651685278796</v>
      </c>
      <c r="H102" s="193">
        <f t="shared" si="22"/>
        <v>156.53677715217114</v>
      </c>
      <c r="I102" s="193">
        <f t="shared" si="22"/>
        <v>183.53390709033391</v>
      </c>
      <c r="J102" s="193">
        <f t="shared" si="22"/>
        <v>85.54735514454805</v>
      </c>
      <c r="L102" s="356">
        <f t="shared" ref="L102:L109" si="23">SUM(D102:J102)</f>
        <v>625.49070369480421</v>
      </c>
      <c r="M102" s="42"/>
    </row>
    <row r="103" spans="2:14">
      <c r="B103" s="202"/>
      <c r="C103" s="202" t="s">
        <v>199</v>
      </c>
      <c r="D103" s="193">
        <f t="shared" si="21"/>
        <v>172.27123378122192</v>
      </c>
      <c r="E103" s="193">
        <f t="shared" ref="E103:J109" si="24">E93*11.63</f>
        <v>3.1613011228317429</v>
      </c>
      <c r="F103" s="193">
        <f t="shared" si="24"/>
        <v>4.0994277321858883</v>
      </c>
      <c r="G103" s="193">
        <f t="shared" si="24"/>
        <v>52.095651685278796</v>
      </c>
      <c r="H103" s="193">
        <f t="shared" si="24"/>
        <v>162.57055319677988</v>
      </c>
      <c r="I103" s="193">
        <f t="shared" si="24"/>
        <v>337.89833776772127</v>
      </c>
      <c r="J103" s="193">
        <f t="shared" si="24"/>
        <v>67.33758295671322</v>
      </c>
      <c r="L103" s="356">
        <f t="shared" si="23"/>
        <v>799.43408824273274</v>
      </c>
      <c r="M103" s="42"/>
    </row>
    <row r="104" spans="2:14">
      <c r="B104" s="202"/>
      <c r="C104" s="202" t="s">
        <v>200</v>
      </c>
      <c r="D104" s="193">
        <f t="shared" si="21"/>
        <v>189.27155847047413</v>
      </c>
      <c r="E104" s="193">
        <f t="shared" si="24"/>
        <v>5.0151958454994778</v>
      </c>
      <c r="F104" s="193">
        <f t="shared" si="24"/>
        <v>11.525155989947667</v>
      </c>
      <c r="G104" s="193">
        <f t="shared" si="24"/>
        <v>52.095651685278796</v>
      </c>
      <c r="H104" s="193">
        <f t="shared" si="24"/>
        <v>168.94481224746718</v>
      </c>
      <c r="I104" s="193">
        <f t="shared" si="24"/>
        <v>581.44853330712931</v>
      </c>
      <c r="J104" s="193">
        <f t="shared" si="24"/>
        <v>69.472327712659421</v>
      </c>
      <c r="L104" s="358">
        <f t="shared" si="23"/>
        <v>1077.773235258456</v>
      </c>
      <c r="M104" s="42"/>
    </row>
    <row r="105" spans="2:14">
      <c r="B105" s="202"/>
      <c r="C105" s="202" t="s">
        <v>201</v>
      </c>
      <c r="D105" s="193">
        <f t="shared" si="21"/>
        <v>161.09178298004943</v>
      </c>
      <c r="E105" s="193">
        <f t="shared" si="24"/>
        <v>2.5002308981878705</v>
      </c>
      <c r="F105" s="193">
        <f t="shared" si="24"/>
        <v>3.5344127050594132</v>
      </c>
      <c r="G105" s="193">
        <f t="shared" si="24"/>
        <v>52.095651685278796</v>
      </c>
      <c r="H105" s="193">
        <f t="shared" si="24"/>
        <v>150.33846074526093</v>
      </c>
      <c r="I105" s="193">
        <f t="shared" si="24"/>
        <v>321.3956419758444</v>
      </c>
      <c r="J105" s="193">
        <f t="shared" si="24"/>
        <v>67.296742424275081</v>
      </c>
      <c r="L105" s="356">
        <f t="shared" si="23"/>
        <v>758.25292341395595</v>
      </c>
      <c r="M105" s="42"/>
    </row>
    <row r="106" spans="2:14">
      <c r="B106" s="202">
        <v>2050</v>
      </c>
      <c r="C106" s="202" t="s">
        <v>198</v>
      </c>
      <c r="D106" s="193">
        <f t="shared" si="21"/>
        <v>212.8585004160567</v>
      </c>
      <c r="E106" s="193">
        <f t="shared" si="24"/>
        <v>7.6578459451236887</v>
      </c>
      <c r="F106" s="193">
        <f t="shared" si="24"/>
        <v>70.499420509979842</v>
      </c>
      <c r="G106" s="193">
        <f t="shared" si="24"/>
        <v>373.57015494640194</v>
      </c>
      <c r="H106" s="193">
        <f t="shared" si="24"/>
        <v>331.43310987775817</v>
      </c>
      <c r="I106" s="193">
        <f t="shared" si="24"/>
        <v>844.9125770109066</v>
      </c>
      <c r="J106" s="193">
        <f t="shared" si="24"/>
        <v>128.48550620368289</v>
      </c>
      <c r="L106" s="356">
        <f t="shared" si="23"/>
        <v>1969.41711490991</v>
      </c>
      <c r="M106" s="42"/>
    </row>
    <row r="107" spans="2:14">
      <c r="B107" s="202"/>
      <c r="C107" s="202" t="s">
        <v>199</v>
      </c>
      <c r="D107" s="193">
        <f t="shared" si="21"/>
        <v>213.42433336418802</v>
      </c>
      <c r="E107" s="193">
        <f t="shared" si="24"/>
        <v>18.316606858603013</v>
      </c>
      <c r="F107" s="193">
        <f t="shared" si="24"/>
        <v>67.489818620638076</v>
      </c>
      <c r="G107" s="193">
        <f t="shared" si="24"/>
        <v>373.77450781985345</v>
      </c>
      <c r="H107" s="193">
        <f t="shared" si="24"/>
        <v>358.94577924212803</v>
      </c>
      <c r="I107" s="193">
        <f t="shared" si="24"/>
        <v>811.66760085310887</v>
      </c>
      <c r="J107" s="193">
        <f t="shared" si="24"/>
        <v>119.50603075670809</v>
      </c>
      <c r="L107" s="356">
        <f t="shared" si="23"/>
        <v>1963.1246775152274</v>
      </c>
      <c r="M107" s="42"/>
      <c r="N107" s="1"/>
    </row>
    <row r="108" spans="2:14">
      <c r="B108" s="202"/>
      <c r="C108" s="202" t="s">
        <v>200</v>
      </c>
      <c r="D108" s="193">
        <f t="shared" si="21"/>
        <v>212.50210232652512</v>
      </c>
      <c r="E108" s="193">
        <f t="shared" si="24"/>
        <v>29.086221099872354</v>
      </c>
      <c r="F108" s="193">
        <f t="shared" si="24"/>
        <v>81.025344535427365</v>
      </c>
      <c r="G108" s="193">
        <f t="shared" si="24"/>
        <v>376.79284025652788</v>
      </c>
      <c r="H108" s="193">
        <f t="shared" si="24"/>
        <v>356.5411783141422</v>
      </c>
      <c r="I108" s="193">
        <f t="shared" si="24"/>
        <v>867.47124854625258</v>
      </c>
      <c r="J108" s="193">
        <f t="shared" si="24"/>
        <v>116.16940329284685</v>
      </c>
      <c r="L108" s="358">
        <f t="shared" si="23"/>
        <v>2039.5883383715943</v>
      </c>
      <c r="M108" s="42"/>
    </row>
    <row r="109" spans="2:14">
      <c r="B109" s="202"/>
      <c r="C109" s="202" t="s">
        <v>201</v>
      </c>
      <c r="D109" s="193">
        <f t="shared" si="21"/>
        <v>188.81047936709285</v>
      </c>
      <c r="E109" s="193">
        <f t="shared" si="24"/>
        <v>15.81271534520911</v>
      </c>
      <c r="F109" s="193">
        <f t="shared" si="24"/>
        <v>56.369959425588803</v>
      </c>
      <c r="G109" s="193">
        <f t="shared" si="24"/>
        <v>337.2066498095536</v>
      </c>
      <c r="H109" s="193">
        <f t="shared" si="24"/>
        <v>333.69938079680929</v>
      </c>
      <c r="I109" s="193">
        <f t="shared" si="24"/>
        <v>762.94009281555827</v>
      </c>
      <c r="J109" s="193">
        <f t="shared" si="24"/>
        <v>134.15382996379023</v>
      </c>
      <c r="L109" s="356">
        <f t="shared" si="23"/>
        <v>1828.9931075236022</v>
      </c>
      <c r="M109" s="42"/>
    </row>
    <row r="110" spans="2:14">
      <c r="B110" s="202"/>
      <c r="C110" s="202"/>
      <c r="D110" s="193"/>
      <c r="E110" s="193"/>
      <c r="F110" s="193"/>
      <c r="G110" s="193"/>
      <c r="H110" s="193"/>
      <c r="I110" s="193"/>
      <c r="J110" s="193"/>
      <c r="L110" s="356"/>
      <c r="M110" s="42"/>
    </row>
    <row r="111" spans="2:14">
      <c r="B111" s="418" t="s">
        <v>400</v>
      </c>
      <c r="C111" s="190"/>
      <c r="D111" s="190"/>
      <c r="E111" s="190"/>
      <c r="F111" s="190"/>
      <c r="G111" s="190"/>
      <c r="H111" s="190"/>
      <c r="I111" s="190"/>
      <c r="J111" s="190"/>
      <c r="K111" s="190"/>
      <c r="L111" s="22"/>
      <c r="M111" s="22"/>
    </row>
    <row r="112" spans="2:14">
      <c r="B112" s="355"/>
      <c r="C112" s="190"/>
      <c r="D112" s="190"/>
      <c r="E112" s="190"/>
      <c r="F112" s="190"/>
      <c r="G112" s="190"/>
      <c r="H112" s="190"/>
      <c r="I112" s="190"/>
      <c r="J112" s="190"/>
      <c r="K112" s="190"/>
      <c r="L112" s="22"/>
      <c r="M112" s="22"/>
    </row>
    <row r="113" spans="1:15" s="22" customFormat="1">
      <c r="A113" s="244" t="s">
        <v>401</v>
      </c>
      <c r="B113" s="193"/>
      <c r="C113" s="193"/>
      <c r="D113" s="190"/>
      <c r="E113" s="190"/>
      <c r="F113" s="190"/>
      <c r="G113" s="190"/>
      <c r="H113" s="190"/>
      <c r="I113" s="190"/>
      <c r="J113" s="190"/>
    </row>
    <row r="114" spans="1:15" s="22" customFormat="1">
      <c r="A114" s="190"/>
      <c r="B114" s="193"/>
      <c r="D114" s="190">
        <v>2030</v>
      </c>
      <c r="E114" s="190">
        <v>2040</v>
      </c>
      <c r="F114" s="190">
        <v>2050</v>
      </c>
      <c r="G114" s="190"/>
      <c r="H114" s="190"/>
      <c r="I114" s="190"/>
      <c r="J114" s="190"/>
    </row>
    <row r="115" spans="1:15" s="22" customFormat="1">
      <c r="A115" s="190"/>
      <c r="B115" s="190" t="s">
        <v>402</v>
      </c>
      <c r="D115" s="357">
        <v>9</v>
      </c>
      <c r="E115" s="357">
        <v>100</v>
      </c>
      <c r="F115" s="357">
        <v>185</v>
      </c>
      <c r="G115" s="190"/>
      <c r="H115" s="190"/>
      <c r="I115" s="190"/>
      <c r="J115" s="190"/>
    </row>
    <row r="116" spans="1:15" s="22" customFormat="1">
      <c r="A116" s="190"/>
      <c r="B116" s="190" t="s">
        <v>403</v>
      </c>
      <c r="D116" s="357">
        <f>D115*11.63</f>
        <v>104.67</v>
      </c>
      <c r="E116" s="357">
        <f>E115*11.63</f>
        <v>1163</v>
      </c>
      <c r="F116" s="357">
        <f>F115*11.63</f>
        <v>2151.5500000000002</v>
      </c>
      <c r="G116" s="190"/>
      <c r="H116" s="190"/>
      <c r="I116" s="190"/>
      <c r="J116" s="190"/>
    </row>
    <row r="117" spans="1:15" s="22" customFormat="1">
      <c r="A117" s="190"/>
      <c r="B117" s="190" t="s">
        <v>404</v>
      </c>
      <c r="D117" s="481">
        <f>D116/33.33</f>
        <v>3.1404140414041408</v>
      </c>
      <c r="E117" s="481">
        <f>E116/33.33</f>
        <v>34.893489348934892</v>
      </c>
      <c r="F117" s="481">
        <f>F116/33.33</f>
        <v>64.552955295529557</v>
      </c>
      <c r="G117" s="190"/>
      <c r="H117" s="190"/>
      <c r="I117" s="190"/>
      <c r="J117" s="190"/>
    </row>
    <row r="118" spans="1:15" s="22" customFormat="1">
      <c r="A118" s="190"/>
      <c r="B118" s="190"/>
      <c r="C118" s="357"/>
      <c r="D118" s="357"/>
      <c r="E118" s="357"/>
      <c r="F118" s="190"/>
      <c r="G118" s="190"/>
      <c r="H118" s="190"/>
      <c r="I118" s="190"/>
      <c r="J118" s="190"/>
    </row>
    <row r="119" spans="1:15" s="22" customFormat="1" ht="27">
      <c r="A119" s="100" t="s">
        <v>405</v>
      </c>
      <c r="B119" s="100"/>
      <c r="C119"/>
      <c r="D119"/>
      <c r="E119"/>
      <c r="F119"/>
      <c r="G119"/>
      <c r="H119"/>
      <c r="I119" s="245"/>
      <c r="J119" s="245"/>
      <c r="K119" s="245"/>
      <c r="L119" s="245"/>
    </row>
    <row r="120" spans="1:15" s="22" customFormat="1">
      <c r="A120"/>
      <c r="B120"/>
      <c r="C120"/>
      <c r="D120"/>
      <c r="E120"/>
      <c r="F120"/>
      <c r="G120"/>
      <c r="H120"/>
      <c r="I120"/>
      <c r="J120"/>
      <c r="K120"/>
      <c r="L120" t="s">
        <v>86</v>
      </c>
      <c r="O120" s="1" t="s">
        <v>170</v>
      </c>
    </row>
    <row r="121" spans="1:15" s="22" customFormat="1">
      <c r="A121"/>
      <c r="B121"/>
      <c r="C121" t="s">
        <v>406</v>
      </c>
      <c r="D121" t="s">
        <v>83</v>
      </c>
      <c r="E121" t="s">
        <v>208</v>
      </c>
      <c r="F121" t="s">
        <v>86</v>
      </c>
      <c r="G121" t="s">
        <v>407</v>
      </c>
      <c r="H121" t="s">
        <v>195</v>
      </c>
      <c r="I121" t="s">
        <v>139</v>
      </c>
      <c r="J121" t="s">
        <v>123</v>
      </c>
      <c r="K121"/>
      <c r="L121" s="14" t="s">
        <v>186</v>
      </c>
      <c r="M121" s="243" t="s">
        <v>408</v>
      </c>
    </row>
    <row r="122" spans="1:15" s="22" customFormat="1">
      <c r="A122" s="180">
        <v>2040</v>
      </c>
      <c r="B122" s="181" t="s">
        <v>198</v>
      </c>
      <c r="C122" s="181">
        <v>10.06513545187914</v>
      </c>
      <c r="D122" s="181">
        <v>204.27347693368051</v>
      </c>
      <c r="E122" s="181">
        <v>-0.29844258489294018</v>
      </c>
      <c r="F122" s="114">
        <v>1.29173406483525</v>
      </c>
      <c r="G122" s="181">
        <v>121.63361050783</v>
      </c>
      <c r="H122" s="181">
        <v>3.3790993300142849</v>
      </c>
      <c r="I122" s="181">
        <v>6.7164544506843242</v>
      </c>
      <c r="J122" s="362">
        <v>2.0925217114609041E-16</v>
      </c>
      <c r="K122" s="181"/>
      <c r="L122" s="246">
        <f t="shared" ref="L122:L129" si="25">F122*11.63</f>
        <v>15.022867174033959</v>
      </c>
      <c r="M122" s="248">
        <f t="shared" ref="M122:M129" si="26">L122/33.33</f>
        <v>0.45073108832985176</v>
      </c>
      <c r="O122" s="37">
        <f t="shared" ref="O122:O129" si="27">SUM(C122:J122)*11.63</f>
        <v>4036.3202226313765</v>
      </c>
    </row>
    <row r="123" spans="1:15" s="22" customFormat="1">
      <c r="A123" s="180"/>
      <c r="B123" s="181" t="s">
        <v>199</v>
      </c>
      <c r="C123" s="181">
        <v>10.90182340517269</v>
      </c>
      <c r="D123" s="181">
        <v>186.89596086531739</v>
      </c>
      <c r="E123" s="181">
        <v>0.2684244538326967</v>
      </c>
      <c r="F123" s="114">
        <v>1.291734064835244</v>
      </c>
      <c r="G123" s="181">
        <v>90.085230760059616</v>
      </c>
      <c r="H123" s="181">
        <v>3.3139896281209702</v>
      </c>
      <c r="I123" s="181">
        <v>4.9435244684575963</v>
      </c>
      <c r="J123" s="362">
        <v>-6.3445915188253837E-17</v>
      </c>
      <c r="K123" s="181"/>
      <c r="L123" s="246">
        <f t="shared" si="25"/>
        <v>15.022867174033889</v>
      </c>
      <c r="M123" s="248">
        <f t="shared" si="26"/>
        <v>0.45073108832984971</v>
      </c>
      <c r="O123" s="37">
        <f t="shared" si="27"/>
        <v>3462.2589973206104</v>
      </c>
    </row>
    <row r="124" spans="1:15" s="22" customFormat="1">
      <c r="A124" s="180"/>
      <c r="B124" s="181" t="s">
        <v>200</v>
      </c>
      <c r="C124" s="181">
        <v>10.552101457690901</v>
      </c>
      <c r="D124" s="181">
        <v>177.5066050634878</v>
      </c>
      <c r="E124" s="181">
        <v>1.0665430705111061</v>
      </c>
      <c r="F124" s="114">
        <v>1.291734064835161</v>
      </c>
      <c r="G124" s="181">
        <v>69.931297960998208</v>
      </c>
      <c r="H124" s="181">
        <v>3.3022428008563489</v>
      </c>
      <c r="I124" s="181">
        <v>3.4616266833434102</v>
      </c>
      <c r="J124" s="362">
        <v>3.1952107626409558E-17</v>
      </c>
      <c r="K124" s="181"/>
      <c r="L124" s="247">
        <f t="shared" si="25"/>
        <v>15.022867174032923</v>
      </c>
      <c r="M124" s="248">
        <f t="shared" si="26"/>
        <v>0.45073108832982067</v>
      </c>
      <c r="O124" s="37">
        <f t="shared" si="27"/>
        <v>3106.5143173130377</v>
      </c>
    </row>
    <row r="125" spans="1:15" s="22" customFormat="1">
      <c r="A125" s="180"/>
      <c r="B125" s="181" t="s">
        <v>201</v>
      </c>
      <c r="C125" s="181">
        <v>10.968893590372049</v>
      </c>
      <c r="D125" s="181">
        <v>175.15740319563889</v>
      </c>
      <c r="E125" s="181">
        <v>1.54066837954417</v>
      </c>
      <c r="F125" s="114">
        <v>1.2917340648351929</v>
      </c>
      <c r="G125" s="181">
        <v>85.720853545047802</v>
      </c>
      <c r="H125" s="181">
        <v>3.3050427983811348</v>
      </c>
      <c r="I125" s="181">
        <v>4.1643211160891189</v>
      </c>
      <c r="J125" s="362">
        <v>1.238555924487628E-16</v>
      </c>
      <c r="K125" s="181"/>
      <c r="L125" s="246">
        <f t="shared" si="25"/>
        <v>15.022867174033294</v>
      </c>
      <c r="M125" s="248">
        <f t="shared" si="26"/>
        <v>0.45073108832983183</v>
      </c>
      <c r="O125" s="37">
        <f t="shared" si="27"/>
        <v>3281.3919011036346</v>
      </c>
    </row>
    <row r="126" spans="1:15" s="22" customFormat="1">
      <c r="A126" s="180">
        <v>2050</v>
      </c>
      <c r="B126" s="181" t="s">
        <v>198</v>
      </c>
      <c r="C126" s="181">
        <v>12.76766297789487</v>
      </c>
      <c r="D126" s="181">
        <v>99.984353967884061</v>
      </c>
      <c r="E126" s="181">
        <v>-1.0399369425263121</v>
      </c>
      <c r="F126" s="114">
        <v>3.570849176322322</v>
      </c>
      <c r="G126" s="181">
        <v>38.550093772450829</v>
      </c>
      <c r="H126" s="181">
        <v>3.2661182582809372</v>
      </c>
      <c r="I126" s="181">
        <v>1.9089498062067141</v>
      </c>
      <c r="J126" s="362">
        <v>-2.5424387040118288E-15</v>
      </c>
      <c r="K126" s="181"/>
      <c r="L126" s="246">
        <f t="shared" si="25"/>
        <v>41.528975920628611</v>
      </c>
      <c r="M126" s="248">
        <f t="shared" si="26"/>
        <v>1.2459938770065591</v>
      </c>
      <c r="O126" s="37">
        <f t="shared" si="27"/>
        <v>1849.2640985220512</v>
      </c>
    </row>
    <row r="127" spans="1:15" s="22" customFormat="1">
      <c r="A127" s="180"/>
      <c r="B127" s="181" t="s">
        <v>199</v>
      </c>
      <c r="C127" s="181">
        <v>12.38931775023087</v>
      </c>
      <c r="D127" s="181">
        <v>97.572887530804266</v>
      </c>
      <c r="E127" s="181">
        <v>-1.230148258740692</v>
      </c>
      <c r="F127" s="114">
        <v>3.570849176322334</v>
      </c>
      <c r="G127" s="181">
        <v>40.724036861622807</v>
      </c>
      <c r="H127" s="181">
        <v>3.263895392129232</v>
      </c>
      <c r="I127" s="181">
        <v>1.922849004334217</v>
      </c>
      <c r="J127" s="362">
        <v>-5.7119464713650805E-16</v>
      </c>
      <c r="K127" s="181"/>
      <c r="L127" s="246">
        <f t="shared" si="25"/>
        <v>41.528975920628746</v>
      </c>
      <c r="M127" s="248">
        <f t="shared" si="26"/>
        <v>1.2459938770065631</v>
      </c>
      <c r="O127" s="37">
        <f t="shared" si="27"/>
        <v>1840.0251851214564</v>
      </c>
    </row>
    <row r="128" spans="1:15" s="22" customFormat="1">
      <c r="A128" s="180"/>
      <c r="B128" s="181" t="s">
        <v>200</v>
      </c>
      <c r="C128" s="181">
        <v>11.95252910694872</v>
      </c>
      <c r="D128" s="181">
        <v>97.618318229863831</v>
      </c>
      <c r="E128" s="181">
        <v>-1.4864684085302939</v>
      </c>
      <c r="F128" s="114">
        <v>3.5708491763220942</v>
      </c>
      <c r="G128" s="181">
        <v>36.471711940257748</v>
      </c>
      <c r="H128" s="181">
        <v>3.2636827884182269</v>
      </c>
      <c r="I128" s="181">
        <v>1.9366440806752361</v>
      </c>
      <c r="J128" s="362">
        <v>2.1051249632364469E-16</v>
      </c>
      <c r="K128" s="181"/>
      <c r="L128" s="247">
        <f t="shared" si="25"/>
        <v>41.52897592062596</v>
      </c>
      <c r="M128" s="248">
        <f t="shared" si="26"/>
        <v>1.2459938770064796</v>
      </c>
      <c r="O128" s="37">
        <f t="shared" si="27"/>
        <v>1783.1961142093032</v>
      </c>
    </row>
    <row r="129" spans="1:22" s="22" customFormat="1">
      <c r="A129" s="180"/>
      <c r="B129" s="181" t="s">
        <v>201</v>
      </c>
      <c r="C129" s="181">
        <v>12.15815048717381</v>
      </c>
      <c r="D129" s="181">
        <v>89.446908065139326</v>
      </c>
      <c r="E129" s="181">
        <v>-3.704495670659357</v>
      </c>
      <c r="F129" s="114">
        <v>3.5708491763223829</v>
      </c>
      <c r="G129" s="181">
        <v>43.380471979175461</v>
      </c>
      <c r="H129" s="181">
        <v>3.260807065620638</v>
      </c>
      <c r="I129" s="181">
        <v>1.513380543263837</v>
      </c>
      <c r="J129" s="362">
        <v>9.2080121305571047E-17</v>
      </c>
      <c r="K129" s="181"/>
      <c r="L129" s="246">
        <f t="shared" si="25"/>
        <v>41.528975920629314</v>
      </c>
      <c r="M129" s="248">
        <f t="shared" si="26"/>
        <v>1.2459938770065802</v>
      </c>
      <c r="O129" s="37">
        <f t="shared" si="27"/>
        <v>1740.1512132434</v>
      </c>
    </row>
    <row r="131" spans="1:22" s="255" customFormat="1">
      <c r="A131" s="350" t="s">
        <v>184</v>
      </c>
      <c r="C131" s="256"/>
      <c r="D131" s="256"/>
      <c r="E131" s="256"/>
      <c r="F131" s="256"/>
      <c r="G131" s="256"/>
      <c r="H131" s="256"/>
      <c r="I131" s="256"/>
    </row>
    <row r="132" spans="1:22" s="22" customFormat="1"/>
    <row r="133" spans="1:22" s="22" customFormat="1">
      <c r="A133" s="352" t="s">
        <v>409</v>
      </c>
      <c r="G133" s="1"/>
      <c r="H133" s="1" t="s">
        <v>410</v>
      </c>
      <c r="O133" s="1" t="s">
        <v>411</v>
      </c>
      <c r="U133" s="480" t="s">
        <v>412</v>
      </c>
    </row>
    <row r="134" spans="1:22" s="22" customFormat="1">
      <c r="A134" s="351" t="s">
        <v>413</v>
      </c>
      <c r="G134" s="1"/>
      <c r="H134" s="351" t="s">
        <v>414</v>
      </c>
      <c r="O134" s="351" t="s">
        <v>415</v>
      </c>
    </row>
    <row r="135" spans="1:22" s="22" customFormat="1" ht="17.45" thickBot="1"/>
    <row r="136" spans="1:22" s="22" customFormat="1" ht="17.45" thickBot="1">
      <c r="A136" s="211"/>
      <c r="B136" s="212"/>
      <c r="C136" s="212">
        <v>2030</v>
      </c>
      <c r="D136" s="212">
        <v>2040</v>
      </c>
      <c r="E136" s="213">
        <v>2050</v>
      </c>
      <c r="H136" s="211"/>
      <c r="I136" s="212"/>
      <c r="J136" s="212">
        <v>2030</v>
      </c>
      <c r="K136" s="212">
        <v>2040</v>
      </c>
      <c r="L136" s="213">
        <v>2050</v>
      </c>
      <c r="O136" s="211"/>
      <c r="P136" s="212"/>
      <c r="Q136" s="212">
        <v>2030</v>
      </c>
      <c r="R136" s="212">
        <v>2040</v>
      </c>
      <c r="S136" s="213">
        <v>2050</v>
      </c>
    </row>
    <row r="137" spans="1:22" s="22" customFormat="1">
      <c r="A137" s="205"/>
      <c r="B137" s="206"/>
      <c r="C137" s="40">
        <v>0.63100000000000001</v>
      </c>
      <c r="D137" s="40">
        <v>1.6056999999999999</v>
      </c>
      <c r="E137" s="209">
        <v>2.8508</v>
      </c>
      <c r="F137" s="243" t="s">
        <v>129</v>
      </c>
      <c r="H137" s="205"/>
      <c r="I137" s="206"/>
      <c r="J137" s="40">
        <v>0.32769999999999999</v>
      </c>
      <c r="K137" s="40">
        <v>1.0508999999999999</v>
      </c>
      <c r="L137" s="209">
        <v>1.9055</v>
      </c>
      <c r="M137" s="243" t="s">
        <v>129</v>
      </c>
      <c r="O137" s="205"/>
      <c r="P137" s="206"/>
      <c r="Q137" s="40">
        <v>0.15670000000000001</v>
      </c>
      <c r="R137" s="40">
        <v>1.6999999999999999E-3</v>
      </c>
      <c r="S137" s="209">
        <v>1.5E-3</v>
      </c>
      <c r="T137" s="243" t="s">
        <v>129</v>
      </c>
    </row>
    <row r="138" spans="1:22" s="22" customFormat="1" ht="17.45" thickBot="1">
      <c r="A138" s="207"/>
      <c r="B138" s="208"/>
      <c r="C138" s="41">
        <v>0.70640000000000003</v>
      </c>
      <c r="D138" s="41">
        <v>2.2223999999999999</v>
      </c>
      <c r="E138" s="210">
        <v>4.5538999999999996</v>
      </c>
      <c r="F138" s="243" t="s">
        <v>129</v>
      </c>
      <c r="H138" s="207"/>
      <c r="I138" s="208"/>
      <c r="J138" s="41">
        <v>0.43309999999999998</v>
      </c>
      <c r="K138" s="41">
        <v>1.5324</v>
      </c>
      <c r="L138" s="210">
        <v>3.1821999999999999</v>
      </c>
      <c r="M138" s="243" t="s">
        <v>129</v>
      </c>
      <c r="O138" s="207"/>
      <c r="P138" s="208"/>
      <c r="Q138" s="41">
        <v>0.22270000000000001</v>
      </c>
      <c r="R138" s="41">
        <v>1.7600000000000001E-2</v>
      </c>
      <c r="S138" s="210">
        <v>4.0000000000000001E-3</v>
      </c>
      <c r="T138" s="243" t="s">
        <v>129</v>
      </c>
    </row>
    <row r="139" spans="1:22" s="22" customFormat="1">
      <c r="A139" s="205"/>
      <c r="B139" s="206"/>
      <c r="C139" s="40">
        <f t="shared" ref="C139:E140" si="28">C137*277.778</f>
        <v>175.27791800000003</v>
      </c>
      <c r="D139" s="40">
        <f t="shared" si="28"/>
        <v>446.02813459999999</v>
      </c>
      <c r="E139" s="209">
        <f t="shared" si="28"/>
        <v>791.88952240000003</v>
      </c>
      <c r="F139" s="243" t="s">
        <v>186</v>
      </c>
      <c r="H139" s="205"/>
      <c r="I139" s="206"/>
      <c r="J139" s="40">
        <f t="shared" ref="J139:L140" si="29">J137*277.778</f>
        <v>91.027850600000008</v>
      </c>
      <c r="K139" s="40">
        <f t="shared" si="29"/>
        <v>291.91690019999999</v>
      </c>
      <c r="L139" s="209">
        <f t="shared" si="29"/>
        <v>529.30597899999998</v>
      </c>
      <c r="M139" s="243" t="s">
        <v>186</v>
      </c>
      <c r="O139" s="205"/>
      <c r="P139" s="206"/>
      <c r="Q139" s="40">
        <f t="shared" ref="Q139:S140" si="30">Q137*277.778</f>
        <v>43.527812600000004</v>
      </c>
      <c r="R139" s="40">
        <f t="shared" si="30"/>
        <v>0.47222259999999999</v>
      </c>
      <c r="S139" s="209">
        <f t="shared" si="30"/>
        <v>0.41666700000000007</v>
      </c>
      <c r="T139" s="243" t="s">
        <v>186</v>
      </c>
    </row>
    <row r="140" spans="1:22" s="22" customFormat="1" ht="17.45" thickBot="1">
      <c r="A140" s="207"/>
      <c r="B140" s="208"/>
      <c r="C140" s="41">
        <f t="shared" si="28"/>
        <v>196.22237920000003</v>
      </c>
      <c r="D140" s="41">
        <f t="shared" si="28"/>
        <v>617.33382719999997</v>
      </c>
      <c r="E140" s="210">
        <f t="shared" si="28"/>
        <v>1264.9732342</v>
      </c>
      <c r="F140" s="243" t="s">
        <v>186</v>
      </c>
      <c r="H140" s="207"/>
      <c r="I140" s="208"/>
      <c r="J140" s="41">
        <f t="shared" si="29"/>
        <v>120.30565180000001</v>
      </c>
      <c r="K140" s="41">
        <f t="shared" si="29"/>
        <v>425.6670072</v>
      </c>
      <c r="L140" s="210">
        <f t="shared" si="29"/>
        <v>883.94515160000003</v>
      </c>
      <c r="M140" s="243" t="s">
        <v>186</v>
      </c>
      <c r="O140" s="207"/>
      <c r="P140" s="208"/>
      <c r="Q140" s="41">
        <f t="shared" si="30"/>
        <v>61.861160600000005</v>
      </c>
      <c r="R140" s="41">
        <f t="shared" si="30"/>
        <v>4.8888928000000007</v>
      </c>
      <c r="S140" s="210">
        <f t="shared" si="30"/>
        <v>1.1111120000000001</v>
      </c>
      <c r="T140" s="243" t="s">
        <v>186</v>
      </c>
    </row>
    <row r="141" spans="1:22" s="22" customFormat="1"/>
    <row r="142" spans="1:22" s="22" customFormat="1"/>
    <row r="143" spans="1:22" s="22" customFormat="1">
      <c r="A143" s="1" t="s">
        <v>416</v>
      </c>
      <c r="H143" s="1" t="s">
        <v>417</v>
      </c>
      <c r="O143" s="1" t="s">
        <v>418</v>
      </c>
      <c r="V143" s="1" t="s">
        <v>419</v>
      </c>
    </row>
    <row r="144" spans="1:22" s="22" customFormat="1">
      <c r="A144" s="243" t="s">
        <v>420</v>
      </c>
      <c r="H144" s="243"/>
    </row>
    <row r="145" spans="1:26" s="22" customFormat="1" ht="17.45" thickBot="1"/>
    <row r="146" spans="1:26" s="22" customFormat="1" ht="17.45" thickBot="1">
      <c r="A146" s="211"/>
      <c r="B146" s="212"/>
      <c r="C146" s="212">
        <v>2030</v>
      </c>
      <c r="D146" s="212">
        <v>2040</v>
      </c>
      <c r="E146" s="213">
        <v>2050</v>
      </c>
      <c r="H146" s="211"/>
      <c r="I146" s="212"/>
      <c r="J146" s="212">
        <v>2030</v>
      </c>
      <c r="K146" s="212">
        <v>2040</v>
      </c>
      <c r="L146" s="213">
        <v>2050</v>
      </c>
      <c r="O146" s="211"/>
      <c r="P146" s="212"/>
      <c r="Q146" s="212">
        <v>2030</v>
      </c>
      <c r="R146" s="212">
        <v>2040</v>
      </c>
      <c r="S146" s="213">
        <v>2050</v>
      </c>
      <c r="V146" s="211"/>
      <c r="W146" s="212"/>
      <c r="X146" s="212">
        <v>2030</v>
      </c>
      <c r="Y146" s="212">
        <v>2040</v>
      </c>
      <c r="Z146" s="213">
        <v>2050</v>
      </c>
    </row>
    <row r="147" spans="1:26" s="22" customFormat="1">
      <c r="A147" s="205"/>
      <c r="B147" s="206"/>
      <c r="C147" s="40">
        <v>0.61360000000000003</v>
      </c>
      <c r="D147" s="40">
        <v>1.3032999999999999</v>
      </c>
      <c r="E147" s="209">
        <v>1.9611000000000001</v>
      </c>
      <c r="F147" s="243" t="s">
        <v>129</v>
      </c>
      <c r="H147" s="205"/>
      <c r="I147" s="206"/>
      <c r="J147" s="40">
        <v>0.52610000000000001</v>
      </c>
      <c r="K147" s="40">
        <v>1.1091</v>
      </c>
      <c r="L147" s="209">
        <v>1.7286999999999999</v>
      </c>
      <c r="M147" s="243" t="s">
        <v>129</v>
      </c>
      <c r="O147" s="205"/>
      <c r="P147" s="206"/>
      <c r="Q147" s="40">
        <v>0</v>
      </c>
      <c r="R147" s="40">
        <v>0</v>
      </c>
      <c r="S147" s="209">
        <v>0</v>
      </c>
      <c r="T147" s="243" t="s">
        <v>129</v>
      </c>
      <c r="V147" s="205"/>
      <c r="W147" s="206"/>
      <c r="X147" s="40">
        <v>8.7499999999999994E-2</v>
      </c>
      <c r="Y147" s="40">
        <v>0.1883</v>
      </c>
      <c r="Z147" s="209">
        <v>0.2324</v>
      </c>
    </row>
    <row r="148" spans="1:26" s="22" customFormat="1" ht="17.45" thickBot="1">
      <c r="A148" s="207"/>
      <c r="B148" s="208"/>
      <c r="C148" s="41">
        <v>0.62429999999999997</v>
      </c>
      <c r="D148" s="41">
        <v>1.7528999999999999</v>
      </c>
      <c r="E148" s="210">
        <v>2.7917999999999998</v>
      </c>
      <c r="F148" s="243" t="s">
        <v>129</v>
      </c>
      <c r="H148" s="207"/>
      <c r="I148" s="208"/>
      <c r="J148" s="41">
        <v>0.53580000000000005</v>
      </c>
      <c r="K148" s="41">
        <v>1.5410999999999999</v>
      </c>
      <c r="L148" s="210">
        <v>2.4409999999999998</v>
      </c>
      <c r="M148" s="243" t="s">
        <v>129</v>
      </c>
      <c r="O148" s="207"/>
      <c r="P148" s="208"/>
      <c r="Q148" s="41">
        <v>0</v>
      </c>
      <c r="R148" s="41">
        <v>0</v>
      </c>
      <c r="S148" s="210">
        <v>0</v>
      </c>
      <c r="T148" s="243" t="s">
        <v>129</v>
      </c>
      <c r="V148" s="207"/>
      <c r="W148" s="208"/>
      <c r="X148" s="41">
        <v>8.9099999999999999E-2</v>
      </c>
      <c r="Y148" s="41">
        <v>0.19309999999999999</v>
      </c>
      <c r="Z148" s="210">
        <v>0.23960000000000001</v>
      </c>
    </row>
    <row r="149" spans="1:26" s="22" customFormat="1">
      <c r="A149" s="205"/>
      <c r="B149" s="206"/>
      <c r="C149" s="40">
        <f t="shared" ref="C149:E150" si="31">C147*277.778</f>
        <v>170.44458080000001</v>
      </c>
      <c r="D149" s="40">
        <f t="shared" si="31"/>
        <v>362.0280674</v>
      </c>
      <c r="E149" s="209">
        <f t="shared" si="31"/>
        <v>544.7504358000001</v>
      </c>
      <c r="F149" s="243" t="s">
        <v>186</v>
      </c>
      <c r="G149" s="65"/>
      <c r="H149" s="205"/>
      <c r="I149" s="206"/>
      <c r="J149" s="40">
        <f t="shared" ref="J149:L150" si="32">J147*277.778</f>
        <v>146.13900580000001</v>
      </c>
      <c r="K149" s="40">
        <f t="shared" si="32"/>
        <v>308.0835798</v>
      </c>
      <c r="L149" s="209">
        <f t="shared" si="32"/>
        <v>480.19482859999999</v>
      </c>
      <c r="M149" s="243" t="s">
        <v>186</v>
      </c>
      <c r="O149" s="205"/>
      <c r="P149" s="206"/>
      <c r="Q149" s="40">
        <f t="shared" ref="Q149:S150" si="33">Q147*277.778</f>
        <v>0</v>
      </c>
      <c r="R149" s="40">
        <f t="shared" si="33"/>
        <v>0</v>
      </c>
      <c r="S149" s="209">
        <f t="shared" si="33"/>
        <v>0</v>
      </c>
      <c r="T149" s="243" t="s">
        <v>186</v>
      </c>
      <c r="V149" s="205"/>
      <c r="W149" s="206"/>
      <c r="X149" s="40">
        <f t="shared" ref="X149:Z150" si="34">X147*277.778</f>
        <v>24.305575000000001</v>
      </c>
      <c r="Y149" s="40">
        <f t="shared" si="34"/>
        <v>52.305597400000003</v>
      </c>
      <c r="Z149" s="209">
        <f t="shared" si="34"/>
        <v>64.555607199999997</v>
      </c>
    </row>
    <row r="150" spans="1:26" s="22" customFormat="1" ht="17.45" thickBot="1">
      <c r="A150" s="207"/>
      <c r="B150" s="208"/>
      <c r="C150" s="41">
        <f t="shared" si="31"/>
        <v>173.41680540000002</v>
      </c>
      <c r="D150" s="41">
        <f t="shared" si="31"/>
        <v>486.91705619999999</v>
      </c>
      <c r="E150" s="210">
        <f t="shared" si="31"/>
        <v>775.5006204</v>
      </c>
      <c r="F150" s="243" t="s">
        <v>186</v>
      </c>
      <c r="H150" s="207"/>
      <c r="I150" s="208"/>
      <c r="J150" s="41">
        <f t="shared" si="32"/>
        <v>148.83345240000003</v>
      </c>
      <c r="K150" s="41">
        <f t="shared" si="32"/>
        <v>428.08367579999998</v>
      </c>
      <c r="L150" s="210">
        <f t="shared" si="32"/>
        <v>678.05609800000002</v>
      </c>
      <c r="M150" s="243" t="s">
        <v>186</v>
      </c>
      <c r="O150" s="207"/>
      <c r="P150" s="208"/>
      <c r="Q150" s="41">
        <f t="shared" si="33"/>
        <v>0</v>
      </c>
      <c r="R150" s="41">
        <f t="shared" si="33"/>
        <v>0</v>
      </c>
      <c r="S150" s="210">
        <f t="shared" si="33"/>
        <v>0</v>
      </c>
      <c r="T150" s="243" t="s">
        <v>186</v>
      </c>
      <c r="V150" s="207"/>
      <c r="W150" s="208"/>
      <c r="X150" s="41">
        <f t="shared" si="34"/>
        <v>24.7500198</v>
      </c>
      <c r="Y150" s="41">
        <f t="shared" si="34"/>
        <v>53.638931800000002</v>
      </c>
      <c r="Z150" s="210">
        <f t="shared" si="34"/>
        <v>66.555608800000002</v>
      </c>
    </row>
  </sheetData>
  <mergeCells count="11">
    <mergeCell ref="P73:X73"/>
    <mergeCell ref="E43:F43"/>
    <mergeCell ref="G43:H43"/>
    <mergeCell ref="I43:J43"/>
    <mergeCell ref="D90:L90"/>
    <mergeCell ref="D101:L101"/>
    <mergeCell ref="D73:L73"/>
    <mergeCell ref="B68:B69"/>
    <mergeCell ref="D5:E5"/>
    <mergeCell ref="F5:G5"/>
    <mergeCell ref="H5:I5"/>
  </mergeCells>
  <pageMargins left="0.7" right="0.7" top="0.75" bottom="0.75" header="0.3" footer="0.3"/>
  <pageSetup paperSize="9" orientation="portrait" r:id="rId1"/>
  <headerFooter>
    <oddFooter>&amp;C_x000D_&amp;1#&amp;"Calibri"&amp;10&amp;K000000 Intern/Internal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1B36C-243D-4EE0-8052-AB23B1161DFF}">
  <sheetPr>
    <tabColor theme="8"/>
  </sheetPr>
  <dimension ref="A1:J49"/>
  <sheetViews>
    <sheetView zoomScale="91" zoomScaleNormal="91" workbookViewId="0">
      <selection activeCell="N42" sqref="N42"/>
    </sheetView>
  </sheetViews>
  <sheetFormatPr defaultColWidth="11.42578125" defaultRowHeight="16.899999999999999"/>
  <cols>
    <col min="1" max="1" width="11.42578125" style="22"/>
    <col min="2" max="2" width="23.7109375" style="22" bestFit="1" customWidth="1"/>
    <col min="3" max="3" width="15.7109375" style="22" customWidth="1"/>
    <col min="4" max="5" width="17" style="44" customWidth="1"/>
    <col min="6" max="6" width="11.42578125" style="22" customWidth="1"/>
    <col min="7" max="16384" width="11.42578125" style="22"/>
  </cols>
  <sheetData>
    <row r="1" spans="1:10" s="309" customFormat="1">
      <c r="A1" s="304" t="s">
        <v>126</v>
      </c>
      <c r="C1" s="310"/>
      <c r="D1" s="310"/>
      <c r="E1" s="310"/>
      <c r="F1" s="310"/>
      <c r="G1" s="310"/>
      <c r="H1" s="310"/>
      <c r="I1" s="310"/>
    </row>
    <row r="3" spans="1:10">
      <c r="A3" s="1" t="s">
        <v>421</v>
      </c>
      <c r="B3" s="1" t="s">
        <v>422</v>
      </c>
    </row>
    <row r="5" spans="1:10">
      <c r="B5" s="24" t="s">
        <v>423</v>
      </c>
      <c r="C5" s="24" t="s">
        <v>424</v>
      </c>
      <c r="D5" s="24" t="s">
        <v>425</v>
      </c>
      <c r="E5" s="24" t="s">
        <v>426</v>
      </c>
    </row>
    <row r="6" spans="1:10">
      <c r="B6" s="560" t="s">
        <v>427</v>
      </c>
      <c r="C6" s="107">
        <v>2030</v>
      </c>
      <c r="D6" s="109">
        <v>67</v>
      </c>
      <c r="E6" s="109">
        <v>36.4</v>
      </c>
      <c r="F6" s="421">
        <f>SUM(D6:E6)</f>
        <v>103.4</v>
      </c>
    </row>
    <row r="7" spans="1:10">
      <c r="B7" s="527"/>
      <c r="C7" s="107">
        <v>2040</v>
      </c>
      <c r="D7" s="109">
        <v>213</v>
      </c>
      <c r="E7" s="109">
        <v>93.1</v>
      </c>
      <c r="F7" s="421">
        <f>SUM(D7:E7)</f>
        <v>306.10000000000002</v>
      </c>
    </row>
    <row r="8" spans="1:10">
      <c r="B8" s="560" t="s">
        <v>35</v>
      </c>
      <c r="C8" s="107">
        <v>2040</v>
      </c>
      <c r="D8" s="109">
        <v>229</v>
      </c>
      <c r="E8" s="109">
        <v>49</v>
      </c>
      <c r="F8" s="421">
        <f t="shared" ref="F8:F11" si="0">SUM(D8:E8)</f>
        <v>278</v>
      </c>
    </row>
    <row r="9" spans="1:10">
      <c r="B9" s="527"/>
      <c r="C9" s="107">
        <v>2050</v>
      </c>
      <c r="D9" s="109">
        <v>440</v>
      </c>
      <c r="E9" s="109">
        <v>77</v>
      </c>
      <c r="F9" s="421">
        <f t="shared" si="0"/>
        <v>517</v>
      </c>
    </row>
    <row r="10" spans="1:10">
      <c r="B10" s="560" t="s">
        <v>36</v>
      </c>
      <c r="C10" s="107">
        <v>2040</v>
      </c>
      <c r="D10" s="109">
        <v>235</v>
      </c>
      <c r="E10" s="109">
        <v>55</v>
      </c>
      <c r="F10" s="421">
        <f t="shared" si="0"/>
        <v>290</v>
      </c>
    </row>
    <row r="11" spans="1:10">
      <c r="B11" s="527"/>
      <c r="C11" s="107">
        <v>2050</v>
      </c>
      <c r="D11" s="109">
        <v>436</v>
      </c>
      <c r="E11" s="109">
        <v>92</v>
      </c>
      <c r="F11" s="421">
        <f t="shared" si="0"/>
        <v>528</v>
      </c>
    </row>
    <row r="14" spans="1:10" s="111" customFormat="1">
      <c r="A14" s="113" t="s">
        <v>188</v>
      </c>
      <c r="B14" s="113"/>
      <c r="C14" s="112"/>
      <c r="D14" s="112"/>
      <c r="E14" s="112"/>
      <c r="F14" s="112"/>
      <c r="G14" s="112"/>
      <c r="H14" s="112"/>
      <c r="I14" s="112"/>
    </row>
    <row r="16" spans="1:10">
      <c r="A16" s="100" t="s">
        <v>428</v>
      </c>
      <c r="B16"/>
      <c r="C16"/>
      <c r="D16"/>
      <c r="E16"/>
      <c r="F16"/>
      <c r="G16"/>
      <c r="H16"/>
      <c r="I16"/>
      <c r="J16"/>
    </row>
    <row r="17" spans="1:10">
      <c r="A17"/>
      <c r="B17"/>
      <c r="C17"/>
      <c r="D17"/>
      <c r="E17"/>
      <c r="F17"/>
      <c r="G17"/>
      <c r="H17"/>
      <c r="I17"/>
      <c r="J17"/>
    </row>
    <row r="18" spans="1:10">
      <c r="A18"/>
      <c r="B18"/>
      <c r="C18" t="s">
        <v>429</v>
      </c>
      <c r="D18" t="s">
        <v>430</v>
      </c>
      <c r="E18" t="s">
        <v>431</v>
      </c>
      <c r="F18" t="s">
        <v>432</v>
      </c>
      <c r="G18" t="s">
        <v>433</v>
      </c>
      <c r="H18" s="101"/>
      <c r="I18" s="101"/>
      <c r="J18" s="101"/>
    </row>
    <row r="19" spans="1:10">
      <c r="A19" s="102">
        <v>2015</v>
      </c>
      <c r="B19"/>
      <c r="C19" s="574">
        <v>0</v>
      </c>
      <c r="D19" s="574">
        <v>44.72</v>
      </c>
      <c r="E19" s="574">
        <v>0</v>
      </c>
      <c r="F19" s="574">
        <v>0</v>
      </c>
      <c r="G19" s="574">
        <v>0</v>
      </c>
      <c r="H19" s="103"/>
      <c r="I19" s="103"/>
      <c r="J19" s="103"/>
    </row>
    <row r="20" spans="1:10">
      <c r="A20" s="102">
        <v>2020</v>
      </c>
      <c r="B20"/>
      <c r="C20" s="574">
        <v>0.5</v>
      </c>
      <c r="D20" s="574">
        <v>50.056400000000004</v>
      </c>
      <c r="E20" s="574">
        <v>3.0106878629041238E-4</v>
      </c>
      <c r="F20" s="574">
        <v>2.4421089644167796E-4</v>
      </c>
      <c r="G20" s="574">
        <v>0</v>
      </c>
      <c r="H20" s="103"/>
      <c r="I20" s="103"/>
      <c r="J20" s="103"/>
    </row>
    <row r="21" spans="1:10">
      <c r="A21" s="102">
        <v>2030</v>
      </c>
      <c r="B21"/>
      <c r="C21" s="104">
        <v>101.37971534890129</v>
      </c>
      <c r="D21" s="104">
        <v>70.859499999999997</v>
      </c>
      <c r="E21" s="224">
        <v>29.872218253458591</v>
      </c>
      <c r="F21" s="104">
        <v>0.8029456536210704</v>
      </c>
      <c r="G21" s="104">
        <v>2.2611062487553011</v>
      </c>
      <c r="H21" s="103"/>
      <c r="I21" s="103"/>
      <c r="J21" s="103"/>
    </row>
    <row r="22" spans="1:10">
      <c r="A22" s="561">
        <v>2040</v>
      </c>
      <c r="B22" t="s">
        <v>198</v>
      </c>
      <c r="C22" s="104">
        <v>136.856655075481</v>
      </c>
      <c r="D22" s="104">
        <v>76.398699999999991</v>
      </c>
      <c r="E22" s="104">
        <v>183.44497356227623</v>
      </c>
      <c r="F22" s="104">
        <v>5.075861705931116</v>
      </c>
      <c r="G22" s="104">
        <v>18.268862458504358</v>
      </c>
      <c r="H22" s="103"/>
      <c r="I22" s="103"/>
      <c r="J22" s="103"/>
    </row>
    <row r="23" spans="1:10">
      <c r="A23" s="561"/>
      <c r="B23" t="s">
        <v>199</v>
      </c>
      <c r="C23" s="104">
        <v>177.92459738246114</v>
      </c>
      <c r="D23" s="104">
        <v>76.398699999999991</v>
      </c>
      <c r="E23" s="104">
        <v>242.35254418000514</v>
      </c>
      <c r="F23" s="104">
        <v>11.431901367908543</v>
      </c>
      <c r="G23" s="104">
        <v>28.920964852641688</v>
      </c>
      <c r="H23" s="103"/>
      <c r="I23" s="103"/>
      <c r="J23" s="103"/>
    </row>
    <row r="24" spans="1:10">
      <c r="A24" s="561"/>
      <c r="B24" t="s">
        <v>200</v>
      </c>
      <c r="C24" s="104">
        <v>198.30571115475206</v>
      </c>
      <c r="D24" s="104">
        <v>76.398699999999991</v>
      </c>
      <c r="E24" s="224">
        <v>301.85883601870489</v>
      </c>
      <c r="F24" s="104">
        <v>20.66454021264445</v>
      </c>
      <c r="G24" s="104">
        <v>33.983704747120626</v>
      </c>
      <c r="H24" s="103"/>
      <c r="I24" s="103"/>
      <c r="J24" s="103"/>
    </row>
    <row r="25" spans="1:10">
      <c r="A25" s="561"/>
      <c r="B25" t="s">
        <v>201</v>
      </c>
      <c r="C25" s="104">
        <v>213.20854858500434</v>
      </c>
      <c r="D25" s="104">
        <v>76.537199999999999</v>
      </c>
      <c r="E25" s="104">
        <v>259.52355086744939</v>
      </c>
      <c r="F25" s="104">
        <v>11.786944131106832</v>
      </c>
      <c r="G25" s="104">
        <v>30.844658739127418</v>
      </c>
      <c r="H25" s="103"/>
      <c r="I25" s="103"/>
      <c r="J25" s="103"/>
    </row>
    <row r="26" spans="1:10">
      <c r="A26" s="561">
        <v>2050</v>
      </c>
      <c r="B26" t="s">
        <v>198</v>
      </c>
      <c r="C26" s="104">
        <v>158.77681262716584</v>
      </c>
      <c r="D26" s="104">
        <v>79.156599999999997</v>
      </c>
      <c r="E26" s="104">
        <v>546.0035264961266</v>
      </c>
      <c r="F26" s="104">
        <v>61.067558212748317</v>
      </c>
      <c r="G26" s="104">
        <v>37.987117143782505</v>
      </c>
      <c r="H26" s="103"/>
      <c r="I26" s="103"/>
      <c r="J26" s="103"/>
    </row>
    <row r="27" spans="1:10">
      <c r="A27" s="561"/>
      <c r="B27" t="s">
        <v>199</v>
      </c>
      <c r="C27" s="104">
        <v>160.02770000146805</v>
      </c>
      <c r="D27" s="104">
        <v>79.156599999999997</v>
      </c>
      <c r="E27" s="104">
        <v>543.1547818615735</v>
      </c>
      <c r="F27" s="104">
        <v>57.420854787860911</v>
      </c>
      <c r="G27" s="104">
        <v>35.993391933380259</v>
      </c>
      <c r="H27" s="103"/>
      <c r="I27" s="103"/>
      <c r="J27" s="103"/>
    </row>
    <row r="28" spans="1:10">
      <c r="A28" s="561"/>
      <c r="B28" t="s">
        <v>200</v>
      </c>
      <c r="C28" s="104">
        <v>159.26869072221564</v>
      </c>
      <c r="D28" s="104">
        <v>79.156599999999997</v>
      </c>
      <c r="E28" s="224">
        <v>536.18664541713042</v>
      </c>
      <c r="F28" s="104">
        <v>50.491664478230504</v>
      </c>
      <c r="G28" s="104">
        <v>36.189980410115041</v>
      </c>
      <c r="H28" s="103"/>
      <c r="I28" s="103"/>
      <c r="J28" s="103"/>
    </row>
    <row r="29" spans="1:10">
      <c r="A29" s="561"/>
      <c r="B29" t="s">
        <v>201</v>
      </c>
      <c r="C29" s="104">
        <v>159.70886336282049</v>
      </c>
      <c r="D29" s="104">
        <v>79.295099999999991</v>
      </c>
      <c r="E29" s="104">
        <v>483.7124595941508</v>
      </c>
      <c r="F29" s="104">
        <v>47.670273106688413</v>
      </c>
      <c r="G29" s="104">
        <v>33.60028611077378</v>
      </c>
      <c r="H29" s="103"/>
      <c r="I29" s="103"/>
      <c r="J29" s="103"/>
    </row>
    <row r="30" spans="1:10">
      <c r="A30"/>
      <c r="B30" s="105"/>
      <c r="C30" s="105"/>
      <c r="D30" s="105"/>
      <c r="E30" s="105"/>
      <c r="F30" s="105"/>
      <c r="G30" s="103"/>
      <c r="H30" s="103"/>
      <c r="I30" s="103"/>
      <c r="J30" s="103"/>
    </row>
    <row r="31" spans="1:10">
      <c r="A31" s="106" t="s">
        <v>204</v>
      </c>
      <c r="B31" s="105"/>
      <c r="C31" s="105"/>
      <c r="D31" s="105"/>
      <c r="E31" s="105"/>
      <c r="F31" s="105"/>
      <c r="G31" s="103"/>
      <c r="H31" s="103"/>
      <c r="I31" s="103"/>
      <c r="J31" s="103"/>
    </row>
    <row r="32" spans="1:10">
      <c r="A32"/>
      <c r="B32" s="105"/>
      <c r="C32" s="105"/>
      <c r="D32" s="105"/>
      <c r="E32" s="105"/>
      <c r="F32" s="105"/>
      <c r="G32" s="103"/>
      <c r="H32" s="103"/>
      <c r="I32" s="103"/>
      <c r="J32" s="103"/>
    </row>
    <row r="33" spans="1:10">
      <c r="A33" s="102"/>
      <c r="B33"/>
      <c r="C33" s="105"/>
      <c r="D33" s="105"/>
      <c r="E33" s="105"/>
      <c r="F33" s="105"/>
      <c r="G33" s="105"/>
      <c r="H33" s="103"/>
      <c r="I33" s="103"/>
      <c r="J33" s="103"/>
    </row>
    <row r="34" spans="1:10">
      <c r="A34"/>
      <c r="B34"/>
      <c r="C34"/>
      <c r="D34"/>
      <c r="E34"/>
      <c r="F34"/>
      <c r="G34"/>
      <c r="H34"/>
      <c r="I34"/>
      <c r="J34"/>
    </row>
    <row r="35" spans="1:10">
      <c r="A35"/>
      <c r="B35"/>
      <c r="C35"/>
      <c r="D35"/>
      <c r="E35"/>
      <c r="F35"/>
      <c r="G35"/>
      <c r="H35"/>
      <c r="I35"/>
      <c r="J35"/>
    </row>
    <row r="36" spans="1:10">
      <c r="A36"/>
      <c r="B36"/>
      <c r="C36"/>
      <c r="D36"/>
      <c r="E36"/>
      <c r="F36"/>
      <c r="G36"/>
      <c r="H36"/>
      <c r="I36"/>
      <c r="J36"/>
    </row>
    <row r="37" spans="1:10">
      <c r="A37"/>
      <c r="B37"/>
      <c r="C37"/>
      <c r="D37"/>
      <c r="E37"/>
      <c r="F37"/>
      <c r="G37"/>
      <c r="H37"/>
      <c r="I37"/>
      <c r="J37"/>
    </row>
    <row r="38" spans="1:10">
      <c r="A38"/>
      <c r="B38"/>
      <c r="C38"/>
      <c r="D38"/>
      <c r="E38"/>
      <c r="F38"/>
      <c r="G38"/>
      <c r="H38"/>
      <c r="I38"/>
      <c r="J38"/>
    </row>
    <row r="39" spans="1:10">
      <c r="A39"/>
      <c r="B39"/>
      <c r="C39"/>
      <c r="D39"/>
      <c r="E39"/>
      <c r="F39"/>
      <c r="G39"/>
      <c r="H39"/>
      <c r="I39"/>
      <c r="J39"/>
    </row>
    <row r="40" spans="1:10">
      <c r="A40"/>
      <c r="B40"/>
      <c r="C40"/>
      <c r="D40"/>
      <c r="E40"/>
      <c r="F40"/>
      <c r="G40"/>
      <c r="H40"/>
      <c r="I40"/>
      <c r="J40"/>
    </row>
    <row r="41" spans="1:10">
      <c r="A41"/>
      <c r="B41"/>
      <c r="C41"/>
      <c r="D41"/>
      <c r="E41"/>
      <c r="F41"/>
      <c r="G41"/>
      <c r="H41"/>
      <c r="I41"/>
      <c r="J41"/>
    </row>
    <row r="42" spans="1:10">
      <c r="A42"/>
      <c r="B42"/>
      <c r="C42"/>
      <c r="D42"/>
      <c r="E42"/>
      <c r="F42"/>
      <c r="G42"/>
      <c r="H42"/>
      <c r="I42"/>
      <c r="J42"/>
    </row>
    <row r="43" spans="1:10">
      <c r="A43"/>
      <c r="B43"/>
      <c r="C43"/>
      <c r="D43"/>
      <c r="E43"/>
      <c r="F43"/>
      <c r="G43"/>
      <c r="H43"/>
      <c r="I43"/>
      <c r="J43"/>
    </row>
    <row r="44" spans="1:10">
      <c r="A44"/>
      <c r="B44"/>
      <c r="C44"/>
      <c r="D44"/>
      <c r="E44"/>
      <c r="F44"/>
      <c r="G44"/>
      <c r="H44"/>
      <c r="I44"/>
      <c r="J44"/>
    </row>
    <row r="45" spans="1:10">
      <c r="A45"/>
      <c r="B45"/>
      <c r="C45"/>
      <c r="D45"/>
      <c r="E45"/>
      <c r="F45"/>
      <c r="G45"/>
      <c r="H45"/>
      <c r="I45"/>
      <c r="J45"/>
    </row>
    <row r="46" spans="1:10">
      <c r="A46"/>
      <c r="B46"/>
      <c r="C46"/>
      <c r="D46"/>
      <c r="E46"/>
      <c r="F46"/>
      <c r="G46"/>
      <c r="H46"/>
      <c r="I46"/>
      <c r="J46"/>
    </row>
    <row r="47" spans="1:10">
      <c r="A47"/>
      <c r="B47"/>
      <c r="C47"/>
      <c r="D47"/>
      <c r="E47"/>
      <c r="F47"/>
      <c r="G47"/>
      <c r="H47"/>
      <c r="I47"/>
      <c r="J47"/>
    </row>
    <row r="48" spans="1:10">
      <c r="B48"/>
      <c r="C48"/>
      <c r="D48"/>
      <c r="E48"/>
      <c r="F48"/>
      <c r="G48"/>
      <c r="H48"/>
      <c r="I48"/>
      <c r="J48"/>
    </row>
    <row r="49" spans="1:10">
      <c r="A49"/>
      <c r="B49"/>
      <c r="C49"/>
      <c r="D49"/>
      <c r="E49"/>
      <c r="F49"/>
      <c r="G49"/>
      <c r="H49"/>
      <c r="I49"/>
      <c r="J49"/>
    </row>
  </sheetData>
  <mergeCells count="5">
    <mergeCell ref="B6:B7"/>
    <mergeCell ref="B8:B9"/>
    <mergeCell ref="B10:B11"/>
    <mergeCell ref="A22:A25"/>
    <mergeCell ref="A26:A29"/>
  </mergeCells>
  <pageMargins left="0.7" right="0.7" top="0.75" bottom="0.75" header="0.3" footer="0.3"/>
  <pageSetup paperSize="0" orientation="portrait" r:id="rId1"/>
  <headerFooter>
    <oddFooter>&amp;C_x000D_&amp;1#&amp;"Calibri"&amp;10&amp;K000000 Intern/Internal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65BF-450D-4578-B324-E71342AE187A}">
  <sheetPr>
    <tabColor theme="3"/>
  </sheetPr>
  <dimension ref="A1:W61"/>
  <sheetViews>
    <sheetView topLeftCell="A49" zoomScale="76" zoomScaleNormal="76" workbookViewId="0">
      <pane xSplit="1" topLeftCell="B1" activePane="topRight" state="frozen"/>
      <selection pane="topRight" activeCell="D8" sqref="D8"/>
    </sheetView>
  </sheetViews>
  <sheetFormatPr defaultRowHeight="15"/>
  <cols>
    <col min="1" max="1" width="32.7109375" customWidth="1"/>
    <col min="2" max="2" width="94.28515625" style="369" customWidth="1"/>
    <col min="3" max="3" width="22.28515625" customWidth="1"/>
    <col min="4" max="4" width="45" customWidth="1"/>
    <col min="5" max="5" width="11.5703125" customWidth="1"/>
    <col min="8" max="8" width="9.5703125" customWidth="1"/>
    <col min="11" max="11" width="9.85546875" bestFit="1" customWidth="1"/>
    <col min="14" max="14" width="15.7109375" customWidth="1"/>
    <col min="16" max="17" width="10" bestFit="1" customWidth="1"/>
    <col min="24" max="24" width="61.7109375" customWidth="1"/>
  </cols>
  <sheetData>
    <row r="1" spans="1:23" ht="48.4" customHeight="1">
      <c r="B1" s="374" t="s">
        <v>4</v>
      </c>
      <c r="C1" s="375" t="s">
        <v>5</v>
      </c>
      <c r="D1" s="375" t="s">
        <v>6</v>
      </c>
    </row>
    <row r="2" spans="1:23" ht="48.4" customHeight="1">
      <c r="B2" s="374" t="s">
        <v>7</v>
      </c>
      <c r="C2" s="375" t="s">
        <v>8</v>
      </c>
      <c r="D2" s="375" t="s">
        <v>9</v>
      </c>
    </row>
    <row r="3" spans="1:23" ht="30" customHeight="1">
      <c r="A3" s="344"/>
      <c r="B3" s="483" t="s">
        <v>10</v>
      </c>
      <c r="C3" s="373" t="s">
        <v>11</v>
      </c>
      <c r="D3" s="484" t="s">
        <v>12</v>
      </c>
      <c r="E3" s="174"/>
      <c r="F3" s="174"/>
    </row>
    <row r="4" spans="1:23" ht="30" customHeight="1">
      <c r="A4" s="345"/>
      <c r="B4" s="483" t="s">
        <v>13</v>
      </c>
      <c r="C4" s="20" t="s">
        <v>14</v>
      </c>
      <c r="D4" s="20" t="s">
        <v>15</v>
      </c>
      <c r="E4" s="174"/>
      <c r="F4" s="174"/>
    </row>
    <row r="5" spans="1:23" ht="30" customHeight="1">
      <c r="A5" s="346"/>
      <c r="B5" s="483" t="s">
        <v>16</v>
      </c>
      <c r="C5" s="20" t="s">
        <v>17</v>
      </c>
      <c r="D5" s="20" t="s">
        <v>18</v>
      </c>
      <c r="E5" s="174"/>
      <c r="F5" s="174"/>
    </row>
    <row r="6" spans="1:23" ht="30" customHeight="1">
      <c r="A6" s="478"/>
      <c r="B6" s="483" t="s">
        <v>19</v>
      </c>
      <c r="C6" s="20" t="s">
        <v>20</v>
      </c>
      <c r="D6" s="20" t="s">
        <v>21</v>
      </c>
      <c r="E6" s="174"/>
      <c r="F6" s="174"/>
    </row>
    <row r="7" spans="1:23" ht="30" customHeight="1">
      <c r="A7" s="477"/>
      <c r="B7" s="483" t="s">
        <v>22</v>
      </c>
      <c r="C7" s="20" t="s">
        <v>23</v>
      </c>
      <c r="D7" s="484" t="s">
        <v>24</v>
      </c>
      <c r="E7" s="194"/>
      <c r="F7" s="174"/>
    </row>
    <row r="8" spans="1:23" ht="20.65" customHeight="1">
      <c r="L8" s="196"/>
      <c r="M8" s="196"/>
      <c r="N8" s="196"/>
    </row>
    <row r="9" spans="1:23" ht="20.65" customHeight="1" thickBot="1"/>
    <row r="10" spans="1:23" ht="30" customHeight="1" thickBot="1">
      <c r="A10" s="515" t="s">
        <v>25</v>
      </c>
      <c r="B10" s="517" t="s">
        <v>26</v>
      </c>
      <c r="C10" s="519" t="s">
        <v>27</v>
      </c>
      <c r="D10" s="521" t="s">
        <v>25</v>
      </c>
      <c r="E10" s="513" t="s">
        <v>28</v>
      </c>
      <c r="F10" s="513"/>
      <c r="G10" s="514"/>
      <c r="H10" s="511">
        <v>2030</v>
      </c>
      <c r="I10" s="511"/>
      <c r="J10" s="511"/>
      <c r="K10" s="512"/>
      <c r="L10" s="511">
        <v>2040</v>
      </c>
      <c r="M10" s="511"/>
      <c r="N10" s="511"/>
      <c r="O10" s="511"/>
      <c r="P10" s="511"/>
      <c r="Q10" s="512"/>
      <c r="R10" s="511">
        <v>2050</v>
      </c>
      <c r="S10" s="513"/>
      <c r="T10" s="513"/>
      <c r="U10" s="513"/>
      <c r="V10" s="513"/>
      <c r="W10" s="514"/>
    </row>
    <row r="11" spans="1:23" ht="45.6" thickBot="1">
      <c r="A11" s="516"/>
      <c r="B11" s="518"/>
      <c r="C11" s="520"/>
      <c r="D11" s="522"/>
      <c r="E11" s="422" t="s">
        <v>29</v>
      </c>
      <c r="F11" s="422" t="s">
        <v>30</v>
      </c>
      <c r="G11" s="424" t="s">
        <v>31</v>
      </c>
      <c r="H11" s="423" t="s">
        <v>32</v>
      </c>
      <c r="I11" s="422" t="s">
        <v>33</v>
      </c>
      <c r="J11" s="422" t="s">
        <v>34</v>
      </c>
      <c r="K11" s="424" t="s">
        <v>31</v>
      </c>
      <c r="L11" s="423" t="s">
        <v>32</v>
      </c>
      <c r="M11" s="422" t="s">
        <v>35</v>
      </c>
      <c r="N11" s="422" t="s">
        <v>36</v>
      </c>
      <c r="O11" s="422" t="s">
        <v>33</v>
      </c>
      <c r="P11" s="422" t="s">
        <v>34</v>
      </c>
      <c r="Q11" s="424" t="s">
        <v>31</v>
      </c>
      <c r="R11" s="423" t="s">
        <v>32</v>
      </c>
      <c r="S11" s="422" t="s">
        <v>35</v>
      </c>
      <c r="T11" s="422" t="s">
        <v>36</v>
      </c>
      <c r="U11" s="422" t="s">
        <v>33</v>
      </c>
      <c r="V11" s="422" t="s">
        <v>34</v>
      </c>
      <c r="W11" s="424" t="s">
        <v>31</v>
      </c>
    </row>
    <row r="12" spans="1:23" ht="25.9" customHeight="1">
      <c r="A12" s="495" t="s">
        <v>37</v>
      </c>
      <c r="B12" s="492" t="s">
        <v>38</v>
      </c>
      <c r="C12" s="504" t="s">
        <v>39</v>
      </c>
      <c r="D12" s="438" t="s">
        <v>40</v>
      </c>
      <c r="E12" s="436">
        <f>FED!C24</f>
        <v>0.20383997110645485</v>
      </c>
      <c r="F12" s="436">
        <f>FED!C35</f>
        <v>0.19764190712159502</v>
      </c>
      <c r="G12" s="225" t="s">
        <v>41</v>
      </c>
      <c r="H12" s="445">
        <f>FED!D24</f>
        <v>0.28680584914350837</v>
      </c>
      <c r="I12" s="436">
        <f>FED!E35</f>
        <v>0.29435226385834001</v>
      </c>
      <c r="J12" s="436">
        <f>FED!E36</f>
        <v>0.29721336285702599</v>
      </c>
      <c r="K12" s="439"/>
      <c r="L12" s="445">
        <f>FED!E24</f>
        <v>0.35635964091198069</v>
      </c>
      <c r="M12" s="436">
        <f>FED!F24</f>
        <v>0.40006763649811655</v>
      </c>
      <c r="N12" s="436">
        <f>FED!H24</f>
        <v>0.3317018245414956</v>
      </c>
      <c r="O12" s="436">
        <f>FED!G35</f>
        <v>0.49613881571887902</v>
      </c>
      <c r="P12" s="436">
        <f>FED!G36</f>
        <v>0.53633947719030706</v>
      </c>
      <c r="Q12" s="439"/>
      <c r="R12" s="453"/>
      <c r="S12" s="436">
        <f>FED!G24</f>
        <v>0.4879960924245122</v>
      </c>
      <c r="T12" s="436">
        <f>FED!I24</f>
        <v>0.40091668630441346</v>
      </c>
      <c r="U12" s="436">
        <f>FED!I35</f>
        <v>0.60696145088610398</v>
      </c>
      <c r="V12" s="436">
        <f>FED!I36</f>
        <v>0.62952546392036801</v>
      </c>
      <c r="W12" s="437"/>
    </row>
    <row r="13" spans="1:23" ht="25.9" customHeight="1">
      <c r="A13" s="496"/>
      <c r="B13" s="498"/>
      <c r="C13" s="505"/>
      <c r="D13" s="130" t="s">
        <v>42</v>
      </c>
      <c r="E13" s="425">
        <f>FEC!D8/FEC!D16</f>
        <v>0.21764802377610859</v>
      </c>
      <c r="F13" s="425" t="s">
        <v>41</v>
      </c>
      <c r="G13" s="140">
        <f>FEC!D19</f>
        <v>0.21764802377610859</v>
      </c>
      <c r="H13" s="166">
        <f>FEC!F19</f>
        <v>0.33472365614618277</v>
      </c>
      <c r="I13" s="425"/>
      <c r="J13" s="425"/>
      <c r="K13" s="140">
        <f>FEC!G19</f>
        <v>0.31459282965235441</v>
      </c>
      <c r="L13" s="166">
        <f>FEC!K19</f>
        <v>0.41789915496765173</v>
      </c>
      <c r="M13" s="425">
        <f>FEC!L19</f>
        <v>0.46111717384840278</v>
      </c>
      <c r="N13" s="425">
        <f>FEC!M19</f>
        <v>0.37704731463258129</v>
      </c>
      <c r="O13" s="425"/>
      <c r="P13" s="425"/>
      <c r="Q13" s="140">
        <f>FEC!N19</f>
        <v>0.47449740099444448</v>
      </c>
      <c r="R13" s="454"/>
      <c r="S13" s="425">
        <f>FEC!O19</f>
        <v>0.57676958224446406</v>
      </c>
      <c r="T13" s="425">
        <f>FEC!P19</f>
        <v>0.46723438499726511</v>
      </c>
      <c r="U13" s="425"/>
      <c r="V13" s="425"/>
      <c r="W13" s="140">
        <f>FEC!Q19</f>
        <v>0.57289345932398328</v>
      </c>
    </row>
    <row r="14" spans="1:23" ht="25.9" customHeight="1">
      <c r="A14" s="496"/>
      <c r="B14" s="498"/>
      <c r="C14" s="505"/>
      <c r="D14" s="130" t="s">
        <v>43</v>
      </c>
      <c r="E14" s="425" t="s">
        <v>41</v>
      </c>
      <c r="F14" s="425" t="s">
        <v>41</v>
      </c>
      <c r="G14" s="140" t="s">
        <v>41</v>
      </c>
      <c r="H14" s="167">
        <f>H12-$E12</f>
        <v>8.296587803705352E-2</v>
      </c>
      <c r="I14" s="426">
        <f>I12-$F12</f>
        <v>9.6710356736744996E-2</v>
      </c>
      <c r="J14" s="426">
        <f>J12-$F12</f>
        <v>9.9571455735430969E-2</v>
      </c>
      <c r="K14" s="19"/>
      <c r="L14" s="167">
        <f t="shared" ref="L14:N15" si="0">L12-$E12</f>
        <v>0.15251966980552584</v>
      </c>
      <c r="M14" s="426">
        <f>M12-$E12</f>
        <v>0.1962276653916617</v>
      </c>
      <c r="N14" s="426">
        <f>N12-$E12</f>
        <v>0.12786185343504075</v>
      </c>
      <c r="O14" s="426">
        <f>O12-$F12</f>
        <v>0.29849690859728401</v>
      </c>
      <c r="P14" s="426">
        <f>P12-$F12</f>
        <v>0.33869757006871204</v>
      </c>
      <c r="Q14" s="19"/>
      <c r="R14" s="455"/>
      <c r="S14" s="426">
        <f>S12-$E12</f>
        <v>0.28415612131805734</v>
      </c>
      <c r="T14" s="426">
        <f>T12-$E12</f>
        <v>0.19707671519795861</v>
      </c>
      <c r="U14" s="426">
        <f>U12-$F12</f>
        <v>0.40931954376450896</v>
      </c>
      <c r="V14" s="426">
        <f>V12-$F12</f>
        <v>0.43188355679877299</v>
      </c>
      <c r="W14" s="19"/>
    </row>
    <row r="15" spans="1:23" ht="25.9" customHeight="1">
      <c r="A15" s="496"/>
      <c r="B15" s="498"/>
      <c r="C15" s="505"/>
      <c r="D15" s="130" t="s">
        <v>44</v>
      </c>
      <c r="E15" s="425" t="s">
        <v>41</v>
      </c>
      <c r="F15" s="425" t="s">
        <v>41</v>
      </c>
      <c r="G15" s="140" t="s">
        <v>41</v>
      </c>
      <c r="H15" s="167">
        <f>H13-$E13</f>
        <v>0.11707563237007418</v>
      </c>
      <c r="I15" s="426"/>
      <c r="J15" s="426"/>
      <c r="K15" s="131">
        <f>K13-$G13</f>
        <v>9.6944805876245821E-2</v>
      </c>
      <c r="L15" s="167">
        <f t="shared" si="0"/>
        <v>0.20025113119154314</v>
      </c>
      <c r="M15" s="426">
        <f t="shared" si="0"/>
        <v>0.24346915007229419</v>
      </c>
      <c r="N15" s="426">
        <f t="shared" si="0"/>
        <v>0.1593992908564727</v>
      </c>
      <c r="O15" s="426"/>
      <c r="P15" s="426"/>
      <c r="Q15" s="131">
        <f>Q13-$G13</f>
        <v>0.25684937721833589</v>
      </c>
      <c r="R15" s="455"/>
      <c r="S15" s="426">
        <f>S13-$E13</f>
        <v>0.35912155846835547</v>
      </c>
      <c r="T15" s="426">
        <f>T13-$E13</f>
        <v>0.24958636122115652</v>
      </c>
      <c r="U15" s="426"/>
      <c r="V15" s="426"/>
      <c r="W15" s="131">
        <f>W13-$G13</f>
        <v>0.35524543554787469</v>
      </c>
    </row>
    <row r="16" spans="1:23" ht="25.9" customHeight="1">
      <c r="A16" s="496"/>
      <c r="B16" s="498"/>
      <c r="C16" s="505"/>
      <c r="D16" s="132" t="s">
        <v>45</v>
      </c>
      <c r="E16" s="134"/>
      <c r="F16" s="134"/>
      <c r="G16" s="142"/>
      <c r="H16" s="168">
        <f>I14/H14</f>
        <v>1.1656642348020838</v>
      </c>
      <c r="I16" s="134"/>
      <c r="J16" s="134"/>
      <c r="K16" s="142"/>
      <c r="L16" s="168">
        <f>$O14/L14</f>
        <v>1.9571043458059556</v>
      </c>
      <c r="M16" s="427">
        <f>$O14/M14</f>
        <v>1.5211764763215088</v>
      </c>
      <c r="N16" s="427">
        <f>$O14/N14</f>
        <v>2.3345266831200213</v>
      </c>
      <c r="O16" s="134"/>
      <c r="P16" s="134"/>
      <c r="Q16" s="142"/>
      <c r="R16" s="452"/>
      <c r="S16" s="427">
        <f>$U14/S14</f>
        <v>1.4404741374772483</v>
      </c>
      <c r="T16" s="427">
        <f>$U14/T14</f>
        <v>2.0769553792966247</v>
      </c>
      <c r="U16" s="135"/>
      <c r="V16" s="135"/>
      <c r="W16" s="136"/>
    </row>
    <row r="17" spans="1:23" ht="25.9" customHeight="1" thickBot="1">
      <c r="A17" s="497"/>
      <c r="B17" s="499"/>
      <c r="C17" s="506"/>
      <c r="D17" s="133" t="s">
        <v>46</v>
      </c>
      <c r="E17" s="137"/>
      <c r="F17" s="137"/>
      <c r="G17" s="139"/>
      <c r="H17" s="169">
        <f>K15/H15</f>
        <v>0.82805280581192897</v>
      </c>
      <c r="I17" s="137"/>
      <c r="J17" s="137"/>
      <c r="K17" s="139"/>
      <c r="L17" s="169">
        <f>$Q15/L15</f>
        <v>1.2826363361346294</v>
      </c>
      <c r="M17" s="138">
        <f>$Q15/M15</f>
        <v>1.0549565607883737</v>
      </c>
      <c r="N17" s="138">
        <f>$Q15/N15</f>
        <v>1.6113583431786394</v>
      </c>
      <c r="O17" s="137"/>
      <c r="P17" s="137"/>
      <c r="Q17" s="139"/>
      <c r="R17" s="456"/>
      <c r="S17" s="138">
        <f>$W15/S15</f>
        <v>0.9892066548802797</v>
      </c>
      <c r="T17" s="138">
        <f>$W15/T15</f>
        <v>1.4233367312611065</v>
      </c>
      <c r="U17" s="137"/>
      <c r="V17" s="137"/>
      <c r="W17" s="139"/>
    </row>
    <row r="18" spans="1:23" ht="25.9" customHeight="1">
      <c r="A18" s="495" t="s">
        <v>47</v>
      </c>
      <c r="B18" s="492" t="s">
        <v>48</v>
      </c>
      <c r="C18" s="504" t="s">
        <v>49</v>
      </c>
      <c r="D18" s="160" t="s">
        <v>50</v>
      </c>
      <c r="E18" s="161">
        <f>FED!C15</f>
        <v>12405.711781754937</v>
      </c>
      <c r="F18" s="161">
        <f>FED!C44</f>
        <v>12915.343665599999</v>
      </c>
      <c r="G18" s="162" t="s">
        <v>41</v>
      </c>
      <c r="H18" s="170">
        <f>FED!D15</f>
        <v>10679.131406348672</v>
      </c>
      <c r="I18" s="161">
        <f>FED!E45</f>
        <v>10962.119880800001</v>
      </c>
      <c r="J18" s="161">
        <f>FED!E44</f>
        <v>10912.3976188</v>
      </c>
      <c r="K18" s="162"/>
      <c r="L18" s="170">
        <f>FED!E15</f>
        <v>9918.0943584592369</v>
      </c>
      <c r="M18" s="161">
        <f>FED!F15</f>
        <v>9412.5865781717384</v>
      </c>
      <c r="N18" s="161">
        <f>FED!H15</f>
        <v>10154.990990479058</v>
      </c>
      <c r="O18" s="161">
        <f>FED!G45</f>
        <v>8025.0341978000006</v>
      </c>
      <c r="P18" s="161">
        <f>FED!G44</f>
        <v>7765.7006570000003</v>
      </c>
      <c r="Q18" s="162"/>
      <c r="R18" s="457"/>
      <c r="S18" s="161">
        <f>FED!G15</f>
        <v>8325.8238654224424</v>
      </c>
      <c r="T18" s="161">
        <f>FED!I15</f>
        <v>9019.4060766197545</v>
      </c>
      <c r="U18" s="161">
        <f>FED!I45</f>
        <v>7508.5615624000002</v>
      </c>
      <c r="V18" s="161">
        <f>FED!I44</f>
        <v>6971.2555769999999</v>
      </c>
      <c r="W18" s="162"/>
    </row>
    <row r="19" spans="1:23" ht="25.9" customHeight="1">
      <c r="A19" s="496"/>
      <c r="B19" s="498"/>
      <c r="C19" s="505"/>
      <c r="D19" s="132" t="s">
        <v>51</v>
      </c>
      <c r="E19" s="163">
        <f>FEC!D16</f>
        <v>11389.239833760003</v>
      </c>
      <c r="F19" s="163" t="s">
        <v>41</v>
      </c>
      <c r="G19" s="164">
        <f>E19</f>
        <v>11389.239833760003</v>
      </c>
      <c r="H19" s="171">
        <f>FEC!F16</f>
        <v>8818.1856491407088</v>
      </c>
      <c r="I19" s="163"/>
      <c r="K19" s="164">
        <f>FEC!G16</f>
        <v>8876.6011535624093</v>
      </c>
      <c r="L19" s="171">
        <f>FEC!K16</f>
        <v>8225.7850630611611</v>
      </c>
      <c r="M19" s="163">
        <f>FEC!L16</f>
        <v>7881.9612884510452</v>
      </c>
      <c r="N19" s="163">
        <f>FEC!M16</f>
        <v>8585.8335603025025</v>
      </c>
      <c r="O19" s="163"/>
      <c r="P19" s="163"/>
      <c r="Q19" s="164">
        <f>FEC!N16</f>
        <v>7026.1823419431284</v>
      </c>
      <c r="R19" s="458"/>
      <c r="S19" s="163">
        <f>FEC!O16</f>
        <v>6816.9440303882075</v>
      </c>
      <c r="T19" s="163">
        <f>FEC!P16</f>
        <v>7458.4982540244355</v>
      </c>
      <c r="U19" s="163"/>
      <c r="V19" s="163"/>
      <c r="W19" s="164">
        <f>FEC!Q16</f>
        <v>6449.5697571724704</v>
      </c>
    </row>
    <row r="20" spans="1:23" ht="25.9" customHeight="1">
      <c r="A20" s="496"/>
      <c r="B20" s="498"/>
      <c r="C20" s="505"/>
      <c r="D20" s="130" t="s">
        <v>43</v>
      </c>
      <c r="E20" s="425" t="s">
        <v>41</v>
      </c>
      <c r="F20" s="425" t="s">
        <v>41</v>
      </c>
      <c r="G20" s="140" t="s">
        <v>41</v>
      </c>
      <c r="H20" s="290">
        <f>H18/E18-1</f>
        <v>-0.13917624444133425</v>
      </c>
      <c r="I20" s="428">
        <f>I18/$F18-1</f>
        <v>-0.15123281543040989</v>
      </c>
      <c r="J20" s="428">
        <f>J18/$F18-1</f>
        <v>-0.15508267520088093</v>
      </c>
      <c r="K20" s="291"/>
      <c r="L20" s="292">
        <f>L18/$E18-1</f>
        <v>-0.20052194239706866</v>
      </c>
      <c r="M20" s="429">
        <f t="shared" ref="M20" si="1">M18/$E18-1</f>
        <v>-0.24126992922608304</v>
      </c>
      <c r="N20" s="429">
        <f>N18/$E18-1</f>
        <v>-0.18142617133714245</v>
      </c>
      <c r="O20" s="428">
        <f>O18/$F18-1</f>
        <v>-0.37864338684423327</v>
      </c>
      <c r="P20" s="428">
        <f>P18/$F18-1</f>
        <v>-0.3987228789208348</v>
      </c>
      <c r="Q20" s="293"/>
      <c r="R20" s="459"/>
      <c r="S20" s="429">
        <f>S18/$E18-1</f>
        <v>-0.32887173167546746</v>
      </c>
      <c r="T20" s="429">
        <f>T18/$E18-1</f>
        <v>-0.27296343528755984</v>
      </c>
      <c r="U20" s="428">
        <f>U18/$F18-1</f>
        <v>-0.41863246098521989</v>
      </c>
      <c r="V20" s="428">
        <f>V18/$F18-1</f>
        <v>-0.46023460486243739</v>
      </c>
      <c r="W20" s="293"/>
    </row>
    <row r="21" spans="1:23" ht="25.9" customHeight="1">
      <c r="A21" s="496"/>
      <c r="B21" s="498"/>
      <c r="C21" s="505"/>
      <c r="D21" s="130" t="s">
        <v>44</v>
      </c>
      <c r="E21" s="425" t="s">
        <v>41</v>
      </c>
      <c r="F21" s="425" t="s">
        <v>41</v>
      </c>
      <c r="G21" s="140" t="s">
        <v>41</v>
      </c>
      <c r="H21" s="290">
        <f>H19/E19-1</f>
        <v>-0.22574414290567235</v>
      </c>
      <c r="I21" s="428"/>
      <c r="J21" s="428"/>
      <c r="K21" s="291">
        <f>K19/G19-1</f>
        <v>-0.22061513471247007</v>
      </c>
      <c r="L21" s="292">
        <f>L19/$E19-1</f>
        <v>-0.27775820132628382</v>
      </c>
      <c r="M21" s="429">
        <f>M19/$E19-1</f>
        <v>-0.30794667567827283</v>
      </c>
      <c r="N21" s="429">
        <f>N19/$E19-1</f>
        <v>-0.24614516107981488</v>
      </c>
      <c r="O21" s="430"/>
      <c r="P21" s="430"/>
      <c r="Q21" s="291">
        <f>Q19/$G19-1</f>
        <v>-0.38308592632178073</v>
      </c>
      <c r="R21" s="459"/>
      <c r="S21" s="429">
        <f>S19/$E19-1</f>
        <v>-0.40145750463684049</v>
      </c>
      <c r="T21" s="429">
        <f>T19/$E19-1</f>
        <v>-0.34512765005475232</v>
      </c>
      <c r="U21" s="430"/>
      <c r="V21" s="430"/>
      <c r="W21" s="291">
        <f>W19/$G19-1</f>
        <v>-0.43371376392877026</v>
      </c>
    </row>
    <row r="22" spans="1:23" ht="25.9" customHeight="1">
      <c r="A22" s="496"/>
      <c r="B22" s="498"/>
      <c r="C22" s="505"/>
      <c r="D22" s="132" t="s">
        <v>45</v>
      </c>
      <c r="E22" s="134"/>
      <c r="F22" s="134"/>
      <c r="G22" s="142"/>
      <c r="H22" s="168">
        <f>I20/H20</f>
        <v>1.0866280810886353</v>
      </c>
      <c r="I22" s="134"/>
      <c r="J22" s="134"/>
      <c r="K22" s="142"/>
      <c r="L22" s="168">
        <f>$O20/L20</f>
        <v>1.8882890436721027</v>
      </c>
      <c r="M22" s="427">
        <f>$O20/M20</f>
        <v>1.5693766233479673</v>
      </c>
      <c r="N22" s="427">
        <f>$O20/N20</f>
        <v>2.0870384027484326</v>
      </c>
      <c r="O22" s="134"/>
      <c r="P22" s="134"/>
      <c r="Q22" s="142"/>
      <c r="R22" s="452"/>
      <c r="S22" s="427">
        <f>$U20/S20</f>
        <v>1.2729353746898771</v>
      </c>
      <c r="T22" s="427">
        <f>$U20/T20</f>
        <v>1.5336576510483961</v>
      </c>
      <c r="U22" s="135"/>
      <c r="V22" s="135"/>
      <c r="W22" s="136"/>
    </row>
    <row r="23" spans="1:23" ht="25.9" customHeight="1" thickBot="1">
      <c r="A23" s="497"/>
      <c r="B23" s="499"/>
      <c r="C23" s="506"/>
      <c r="D23" s="133" t="s">
        <v>46</v>
      </c>
      <c r="E23" s="137"/>
      <c r="F23" s="137"/>
      <c r="G23" s="139"/>
      <c r="H23" s="169">
        <f>K21/H21</f>
        <v>0.97727955141079592</v>
      </c>
      <c r="I23" s="137"/>
      <c r="J23" s="137"/>
      <c r="K23" s="139"/>
      <c r="L23" s="169">
        <f>$Q21/L21</f>
        <v>1.3792065346497833</v>
      </c>
      <c r="M23" s="138">
        <f>$Q21/M21</f>
        <v>1.2440008500757762</v>
      </c>
      <c r="N23" s="138">
        <f>$Q21/N21</f>
        <v>1.5563414882552231</v>
      </c>
      <c r="O23" s="137"/>
      <c r="P23" s="137"/>
      <c r="Q23" s="139"/>
      <c r="R23" s="456"/>
      <c r="S23" s="138">
        <f>$W21/S21</f>
        <v>1.0803478797117241</v>
      </c>
      <c r="T23" s="138">
        <f>$W21/T21</f>
        <v>1.2566763742631584</v>
      </c>
      <c r="U23" s="137"/>
      <c r="V23" s="137"/>
      <c r="W23" s="139"/>
    </row>
    <row r="24" spans="1:23" ht="25.9" customHeight="1">
      <c r="A24" s="495" t="s">
        <v>52</v>
      </c>
      <c r="B24" s="492" t="s">
        <v>53</v>
      </c>
      <c r="C24" s="504" t="s">
        <v>49</v>
      </c>
      <c r="D24" s="160" t="s">
        <v>54</v>
      </c>
      <c r="E24" s="165">
        <f>'Primary Energy'!K22</f>
        <v>17466</v>
      </c>
      <c r="F24" s="161">
        <f>'Primary Energy'!H88</f>
        <v>14447.956002800001</v>
      </c>
      <c r="G24" s="162">
        <f>'Primary Energy'!X106</f>
        <v>17300.496935990002</v>
      </c>
      <c r="H24" s="170">
        <f>'Primary Energy'!D22</f>
        <v>11792.363197052167</v>
      </c>
      <c r="I24" s="161">
        <f>'Primary Energy'!H92</f>
        <v>12437.648839000001</v>
      </c>
      <c r="J24" s="161">
        <f>'Primary Energy'!H91</f>
        <v>12336.537646999999</v>
      </c>
      <c r="K24" s="162">
        <f>'Primary Energy'!X107</f>
        <v>13496.225941687397</v>
      </c>
      <c r="L24" s="170">
        <f>'Primary Energy'!E22</f>
        <v>11722.323141434443</v>
      </c>
      <c r="M24" s="161">
        <f>'Primary Energy'!F22</f>
        <v>10500.256551242674</v>
      </c>
      <c r="N24" s="161">
        <f>'Primary Energy'!H22</f>
        <v>11306.704984750935</v>
      </c>
      <c r="O24" s="161">
        <f>'Primary Energy'!H95</f>
        <v>9765.4800346000011</v>
      </c>
      <c r="P24" s="161">
        <f>'Primary Energy'!H94</f>
        <v>9457.1186768000007</v>
      </c>
      <c r="Q24" s="162">
        <f>'Primary Energy'!X110</f>
        <v>11843.826350318042</v>
      </c>
      <c r="R24" s="457"/>
      <c r="S24" s="161">
        <f>'Primary Energy'!G22</f>
        <v>9565.6975821833112</v>
      </c>
      <c r="T24" s="161">
        <f>'Primary Energy'!I22</f>
        <v>10441.240928220373</v>
      </c>
      <c r="U24" s="161">
        <f>'Primary Energy'!H98</f>
        <v>9872.3134534000019</v>
      </c>
      <c r="V24" s="161">
        <f>'Primary Energy'!H97</f>
        <v>8942.6738208000024</v>
      </c>
      <c r="W24" s="162">
        <f>'Primary Energy'!X114</f>
        <v>11854.571312328839</v>
      </c>
    </row>
    <row r="25" spans="1:23" ht="25.9" customHeight="1">
      <c r="A25" s="496"/>
      <c r="B25" s="498"/>
      <c r="C25" s="505"/>
      <c r="D25" s="132" t="s">
        <v>55</v>
      </c>
      <c r="E25" s="163"/>
      <c r="F25" s="163"/>
      <c r="G25" s="164"/>
      <c r="H25" s="469">
        <f>H24/E24-1</f>
        <v>-0.32483893295246957</v>
      </c>
      <c r="I25" s="428">
        <f>I24/$F24-1</f>
        <v>-0.13914128499632783</v>
      </c>
      <c r="J25" s="428">
        <f>J24/$F24-1</f>
        <v>-0.14613958925337334</v>
      </c>
      <c r="K25" s="291">
        <f>K24/G24-1</f>
        <v>-0.21989374110917181</v>
      </c>
      <c r="L25" s="469">
        <f>L24/$E24-1</f>
        <v>-0.3288490128572974</v>
      </c>
      <c r="M25" s="428">
        <f t="shared" ref="M25:N25" si="2">M24/$E24-1</f>
        <v>-0.39881732788030033</v>
      </c>
      <c r="N25" s="428">
        <f t="shared" si="2"/>
        <v>-0.35264485373005061</v>
      </c>
      <c r="O25" s="428">
        <f>O24/$F24-1</f>
        <v>-0.32409262371040859</v>
      </c>
      <c r="P25" s="428">
        <f>P24/$F24-1</f>
        <v>-0.34543552908333752</v>
      </c>
      <c r="Q25" s="291">
        <f>Q24/$G24-1</f>
        <v>-0.31540542481878187</v>
      </c>
      <c r="R25" s="470"/>
      <c r="S25" s="428">
        <f>S24/$E24-1</f>
        <v>-0.45232465463281168</v>
      </c>
      <c r="T25" s="428">
        <f>T24/$E24-1</f>
        <v>-0.40219621388867666</v>
      </c>
      <c r="U25" s="428">
        <f>U24/$F24-1</f>
        <v>-0.31669826157507985</v>
      </c>
      <c r="V25" s="428">
        <f>V24/$F24-1</f>
        <v>-0.38104228590764533</v>
      </c>
      <c r="W25" s="291">
        <f>W24/$G24-1</f>
        <v>-0.31478434658903198</v>
      </c>
    </row>
    <row r="26" spans="1:23" ht="25.9" customHeight="1">
      <c r="A26" s="496"/>
      <c r="B26" s="498"/>
      <c r="C26" s="505"/>
      <c r="D26" s="132" t="s">
        <v>45</v>
      </c>
      <c r="E26" s="134"/>
      <c r="F26" s="134"/>
      <c r="G26" s="142"/>
      <c r="H26" s="168">
        <f>IF(ABS(H25)&gt;ABS(I25),J25/H25,I25/H25)</f>
        <v>0.44988323266890079</v>
      </c>
      <c r="I26" s="134"/>
      <c r="J26" s="134"/>
      <c r="K26" s="142"/>
      <c r="L26" s="394">
        <v>1</v>
      </c>
      <c r="M26" s="427">
        <f>IF(ABS(M25)&gt;ABS($O25),$P25/M25,$O25/M25)</f>
        <v>0.86614975061217847</v>
      </c>
      <c r="N26" s="427">
        <f>IF(ABS(N25)&gt;ABS(O25),P25/N25,O25/N25)</f>
        <v>0.97955641612104216</v>
      </c>
      <c r="O26" s="134"/>
      <c r="P26" s="134"/>
      <c r="Q26" s="142"/>
      <c r="R26" s="452"/>
      <c r="S26" s="427">
        <f>IF(ABS(S25)&gt;ABS($U25),$V25/S25,$U25/S25)</f>
        <v>0.8424088362306229</v>
      </c>
      <c r="T26" s="427">
        <f>IF(ABS(T25)&gt;ABS($U25),$V25/T25,$U25/T25)</f>
        <v>0.94740396042891017</v>
      </c>
      <c r="U26" s="134"/>
      <c r="V26" s="134"/>
      <c r="W26" s="142"/>
    </row>
    <row r="27" spans="1:23" ht="25.9" customHeight="1" thickBot="1">
      <c r="A27" s="497"/>
      <c r="B27" s="499"/>
      <c r="C27" s="506"/>
      <c r="D27" s="133" t="s">
        <v>46</v>
      </c>
      <c r="E27" s="137"/>
      <c r="F27" s="137"/>
      <c r="G27" s="139"/>
      <c r="H27" s="169">
        <f>K25/H25</f>
        <v>0.67693160764490834</v>
      </c>
      <c r="I27" s="137"/>
      <c r="J27" s="137"/>
      <c r="K27" s="139"/>
      <c r="L27" s="169">
        <f>$Q25/L25</f>
        <v>0.95911926898698241</v>
      </c>
      <c r="M27" s="138">
        <f>$Q25/M25</f>
        <v>0.79085185815558789</v>
      </c>
      <c r="N27" s="138">
        <f t="shared" ref="N27" si="3">$Q25/N25</f>
        <v>0.89439962467231837</v>
      </c>
      <c r="O27" s="137"/>
      <c r="P27" s="137"/>
      <c r="Q27" s="139"/>
      <c r="R27" s="456"/>
      <c r="S27" s="138">
        <f>$W25/S25</f>
        <v>0.69592568825276124</v>
      </c>
      <c r="T27" s="138">
        <f>$W25/T25</f>
        <v>0.78266362466594652</v>
      </c>
      <c r="U27" s="137"/>
      <c r="V27" s="137"/>
      <c r="W27" s="139"/>
    </row>
    <row r="28" spans="1:23" ht="25.9" customHeight="1">
      <c r="A28" s="523" t="s">
        <v>56</v>
      </c>
      <c r="B28" s="492" t="s">
        <v>57</v>
      </c>
      <c r="C28" s="504" t="s">
        <v>39</v>
      </c>
      <c r="D28" s="160" t="s">
        <v>54</v>
      </c>
      <c r="E28" s="165">
        <v>859.68</v>
      </c>
      <c r="F28" s="161">
        <f>'Primary Energy'!J88</f>
        <v>853.36179379999999</v>
      </c>
      <c r="G28" s="162">
        <f>'Primary Energy'!Z106</f>
        <v>859.6409633400001</v>
      </c>
      <c r="H28" s="170">
        <f>'Primary Energy'!D26</f>
        <v>2372.5507315599998</v>
      </c>
      <c r="I28" s="161">
        <f>'Primary Energy'!J91</f>
        <v>2549.6964842000002</v>
      </c>
      <c r="J28" s="161">
        <f>'Primary Energy'!J92</f>
        <v>2734.3355208000003</v>
      </c>
      <c r="K28" s="162">
        <f>'Primary Energy'!Z107</f>
        <v>2320.3567618513816</v>
      </c>
      <c r="L28" s="170">
        <f>'Primary Energy'!E26</f>
        <v>4119.025922085998</v>
      </c>
      <c r="M28" s="161">
        <f>'Primary Energy'!F26</f>
        <v>4803.2146651000003</v>
      </c>
      <c r="N28" s="161">
        <f>'Primary Energy'!H26</f>
        <v>4603.7152916999994</v>
      </c>
      <c r="O28" s="161">
        <f>'Primary Energy'!J94</f>
        <v>4654.9759462000002</v>
      </c>
      <c r="P28" s="161">
        <f>'Primary Energy'!J95</f>
        <v>5383.5043068000004</v>
      </c>
      <c r="Q28" s="162">
        <f>'Primary Energy'!Z110</f>
        <v>4409.353788140309</v>
      </c>
      <c r="R28" s="457"/>
      <c r="S28" s="161">
        <f>'Primary Energy'!G26</f>
        <v>6373.8690036999988</v>
      </c>
      <c r="T28" s="161">
        <f>'Primary Energy'!I26</f>
        <v>6118.0417467999996</v>
      </c>
      <c r="U28" s="161">
        <f>'Primary Energy'!J97</f>
        <v>5635.0045080000009</v>
      </c>
      <c r="V28" s="161">
        <f>'Primary Energy'!J98</f>
        <v>6903.4499672000002</v>
      </c>
      <c r="W28" s="162">
        <f>'Primary Energy'!Z114</f>
        <v>5919.4111786309513</v>
      </c>
    </row>
    <row r="29" spans="1:23" ht="25.9" customHeight="1">
      <c r="A29" s="524"/>
      <c r="B29" s="498"/>
      <c r="C29" s="505"/>
      <c r="D29" s="132" t="s">
        <v>55</v>
      </c>
      <c r="E29" s="163"/>
      <c r="F29" s="163"/>
      <c r="G29" s="164"/>
      <c r="H29" s="469">
        <f>H28/E28-1</f>
        <v>1.7598068252838264</v>
      </c>
      <c r="I29" s="428">
        <f>I28/$F28-1</f>
        <v>1.987825917125094</v>
      </c>
      <c r="J29" s="428">
        <f>J28/$F28-1</f>
        <v>2.2041925718563853</v>
      </c>
      <c r="K29" s="291">
        <f>K28/G28-1</f>
        <v>1.6992161388354501</v>
      </c>
      <c r="L29" s="469">
        <f>L28/$E28-1</f>
        <v>3.791347852789408</v>
      </c>
      <c r="M29" s="428">
        <f>M28/$E28-1</f>
        <v>4.5872122942257594</v>
      </c>
      <c r="N29" s="428">
        <f>N28/$E28-1</f>
        <v>4.3551499298576211</v>
      </c>
      <c r="O29" s="428">
        <f>O28/$F28-1</f>
        <v>4.4548680055987759</v>
      </c>
      <c r="P29" s="428">
        <f>P28/$F28-1</f>
        <v>5.3085837049575213</v>
      </c>
      <c r="Q29" s="291">
        <f>Q28/$G28-1</f>
        <v>4.1292969695260409</v>
      </c>
      <c r="R29" s="470"/>
      <c r="S29" s="428">
        <f>S28/$E28-1</f>
        <v>6.4142343705797495</v>
      </c>
      <c r="T29" s="428">
        <f>T28/$E28-1</f>
        <v>6.1166500870091198</v>
      </c>
      <c r="U29" s="428">
        <f>U28/$F28-1</f>
        <v>5.6033006738061921</v>
      </c>
      <c r="V29" s="428">
        <f>V28/$F28-1</f>
        <v>7.0897106213990426</v>
      </c>
      <c r="W29" s="291">
        <f>W28/$G28-1</f>
        <v>5.8859110152592171</v>
      </c>
    </row>
    <row r="30" spans="1:23" ht="25.9" customHeight="1">
      <c r="A30" s="524"/>
      <c r="B30" s="498"/>
      <c r="C30" s="505"/>
      <c r="D30" s="132" t="s">
        <v>45</v>
      </c>
      <c r="E30" s="134"/>
      <c r="F30" s="134"/>
      <c r="G30" s="142"/>
      <c r="H30" s="168">
        <f>IF(ABS(H29)&gt;ABS(I29),J29/H29,I29/H29)</f>
        <v>1.1295705236309059</v>
      </c>
      <c r="I30" s="134"/>
      <c r="J30" s="134"/>
      <c r="K30" s="142"/>
      <c r="L30" s="168">
        <f>IF(ABS(L29)&gt;ABS($O29),$P29/L29,$O29/L29)</f>
        <v>1.1750090412625147</v>
      </c>
      <c r="M30" s="427">
        <v>1</v>
      </c>
      <c r="N30" s="427">
        <f>IF(ABS(N29)&gt;ABS(O29),P29/N29,O29/N29)</f>
        <v>1.0228965884865449</v>
      </c>
      <c r="O30" s="134"/>
      <c r="P30" s="134"/>
      <c r="Q30" s="142"/>
      <c r="R30" s="452"/>
      <c r="S30" s="427">
        <v>1</v>
      </c>
      <c r="T30" s="427">
        <v>1</v>
      </c>
      <c r="U30" s="134"/>
      <c r="V30" s="134"/>
      <c r="W30" s="142"/>
    </row>
    <row r="31" spans="1:23" ht="25.9" customHeight="1" thickBot="1">
      <c r="A31" s="525"/>
      <c r="B31" s="499"/>
      <c r="C31" s="506"/>
      <c r="D31" s="133" t="s">
        <v>46</v>
      </c>
      <c r="E31" s="137"/>
      <c r="F31" s="137"/>
      <c r="G31" s="139"/>
      <c r="H31" s="169">
        <f>K29/H29</f>
        <v>0.96556969459497122</v>
      </c>
      <c r="I31" s="137"/>
      <c r="J31" s="137"/>
      <c r="K31" s="139"/>
      <c r="L31" s="169">
        <f>$Q29/L29</f>
        <v>1.089136932262228</v>
      </c>
      <c r="M31" s="138">
        <f>$Q29/M29</f>
        <v>0.9001756850721454</v>
      </c>
      <c r="N31" s="138">
        <f>$Q29/N29</f>
        <v>0.94814117447870183</v>
      </c>
      <c r="O31" s="137"/>
      <c r="P31" s="137"/>
      <c r="Q31" s="139"/>
      <c r="R31" s="456"/>
      <c r="S31" s="138">
        <f>$W29/S29</f>
        <v>0.9176326705890574</v>
      </c>
      <c r="T31" s="138">
        <f>$W29/T29</f>
        <v>0.96227688874340567</v>
      </c>
      <c r="U31" s="137"/>
      <c r="V31" s="137"/>
      <c r="W31" s="139"/>
    </row>
    <row r="32" spans="1:23" ht="25.9" customHeight="1">
      <c r="A32" s="500" t="s">
        <v>58</v>
      </c>
      <c r="B32" s="503" t="s">
        <v>59</v>
      </c>
      <c r="C32" s="504" t="s">
        <v>49</v>
      </c>
      <c r="D32" s="160" t="s">
        <v>54</v>
      </c>
      <c r="E32" s="165">
        <f>'Primary Energy'!K24</f>
        <v>12300</v>
      </c>
      <c r="F32" s="161">
        <f>'Primary Energy'!I88</f>
        <v>11280.175690800001</v>
      </c>
      <c r="G32" s="162">
        <f>'Primary Energy'!Y106</f>
        <v>12300.738397230001</v>
      </c>
      <c r="H32" s="170">
        <f>'Primary Energy'!D24</f>
        <v>6505.902181759624</v>
      </c>
      <c r="I32" s="161">
        <f>'Primary Energy'!I92</f>
        <v>7433.7003913999997</v>
      </c>
      <c r="J32" s="161">
        <f>'Primary Energy'!I91</f>
        <v>7198.9779814000003</v>
      </c>
      <c r="K32" s="162">
        <f>'Primary Energy'!Y107</f>
        <v>7714.4501962698023</v>
      </c>
      <c r="L32" s="170">
        <f>'Primary Energy'!E24</f>
        <v>3765.6065781011675</v>
      </c>
      <c r="M32" s="161">
        <f>'Primary Energy'!F24</f>
        <v>2874.6301338670278</v>
      </c>
      <c r="N32" s="161">
        <f>'Primary Energy'!H24</f>
        <v>3322.8418134030826</v>
      </c>
      <c r="O32" s="161">
        <f>'Primary Energy'!I95</f>
        <v>2722.5577336000001</v>
      </c>
      <c r="P32" s="161">
        <f>'Primary Energy'!I94</f>
        <v>2013.2793884</v>
      </c>
      <c r="Q32" s="162">
        <f>'Primary Energy'!Y110</f>
        <v>3202.7525323993432</v>
      </c>
      <c r="R32" s="457"/>
      <c r="S32" s="161">
        <f>'Primary Energy'!G24</f>
        <v>641.3407747691142</v>
      </c>
      <c r="T32" s="161">
        <f>'Primary Energy'!I24</f>
        <v>795.70019463814015</v>
      </c>
      <c r="U32" s="161">
        <f>'Primary Energy'!I98</f>
        <v>1088.1675372000002</v>
      </c>
      <c r="V32" s="161">
        <f>'Primary Energy'!I97</f>
        <v>692.88944320000007</v>
      </c>
      <c r="W32" s="162">
        <f>'Primary Energy'!Y114</f>
        <v>1748.4543975176598</v>
      </c>
    </row>
    <row r="33" spans="1:23" ht="25.9" customHeight="1">
      <c r="A33" s="501"/>
      <c r="B33" s="498"/>
      <c r="C33" s="505"/>
      <c r="D33" s="132" t="s">
        <v>55</v>
      </c>
      <c r="E33" s="163"/>
      <c r="F33" s="163"/>
      <c r="G33" s="164"/>
      <c r="H33" s="469">
        <f>H32/E32-1</f>
        <v>-0.47106486327157526</v>
      </c>
      <c r="I33" s="428">
        <f>I32/$F32-1</f>
        <v>-0.34099427214924927</v>
      </c>
      <c r="J33" s="428">
        <f>J32/$F32-1</f>
        <v>-0.36180267234034169</v>
      </c>
      <c r="K33" s="291">
        <f>K32/G32-1</f>
        <v>-0.37284657659193721</v>
      </c>
      <c r="L33" s="469">
        <f>L32/$E32-1</f>
        <v>-0.69385312373161234</v>
      </c>
      <c r="M33" s="428">
        <f>M32/$E32-1</f>
        <v>-0.76629023301894084</v>
      </c>
      <c r="N33" s="428">
        <f>N32/$E32-1</f>
        <v>-0.72985025907292012</v>
      </c>
      <c r="O33" s="428">
        <f>O32/$F32-1</f>
        <v>-0.75864225804386265</v>
      </c>
      <c r="P33" s="428">
        <f>P32/$F32-1</f>
        <v>-0.82152056460946699</v>
      </c>
      <c r="Q33" s="291">
        <f>Q32/$G32-1</f>
        <v>-0.73962924590603685</v>
      </c>
      <c r="R33" s="470"/>
      <c r="S33" s="428">
        <f>S32/$E32-1</f>
        <v>-0.94785847359600695</v>
      </c>
      <c r="T33" s="428">
        <f>T32/$E32-1</f>
        <v>-0.93530892726519188</v>
      </c>
      <c r="U33" s="428">
        <f>U32/$F32-1</f>
        <v>-0.90353274922060844</v>
      </c>
      <c r="V33" s="428">
        <f>V32/$F32-1</f>
        <v>-0.93857458764892165</v>
      </c>
      <c r="W33" s="291">
        <f>W32/$G32-1</f>
        <v>-0.85785776909852873</v>
      </c>
    </row>
    <row r="34" spans="1:23" ht="25.9" customHeight="1">
      <c r="A34" s="501"/>
      <c r="B34" s="498"/>
      <c r="C34" s="505"/>
      <c r="D34" s="132" t="s">
        <v>45</v>
      </c>
      <c r="E34" s="134"/>
      <c r="F34" s="134"/>
      <c r="G34" s="142"/>
      <c r="H34" s="168">
        <f>IF(ABS(H33)&gt;ABS(I33),J33/H33,I33/H33)</f>
        <v>0.76805276841834313</v>
      </c>
      <c r="I34" s="134"/>
      <c r="J34" s="134"/>
      <c r="K34" s="142"/>
      <c r="L34" s="168">
        <f>IF(ABS(L33)&gt;ABS($O33),$P33/L33,$O33/L33)</f>
        <v>1.0933758631276427</v>
      </c>
      <c r="M34" s="427">
        <v>1</v>
      </c>
      <c r="N34" s="427">
        <f>IF(ABS(N33)&gt;ABS(O33),P33/N33,O33/N33)</f>
        <v>1.0394491864776689</v>
      </c>
      <c r="O34" s="134"/>
      <c r="P34" s="134"/>
      <c r="Q34" s="142"/>
      <c r="R34" s="452"/>
      <c r="S34" s="427">
        <f>IF(ABS(S33)&gt;ABS($U33),$V33/S33,$U33/S33)</f>
        <v>0.99020540913469512</v>
      </c>
      <c r="T34" s="427">
        <v>1</v>
      </c>
      <c r="U34" s="134"/>
      <c r="V34" s="134"/>
      <c r="W34" s="142"/>
    </row>
    <row r="35" spans="1:23" ht="25.9" customHeight="1" thickBot="1">
      <c r="A35" s="502"/>
      <c r="B35" s="499"/>
      <c r="C35" s="506"/>
      <c r="D35" s="133" t="s">
        <v>46</v>
      </c>
      <c r="E35" s="137"/>
      <c r="F35" s="137"/>
      <c r="G35" s="139"/>
      <c r="H35" s="169">
        <f>K33/H33</f>
        <v>0.79149731950393021</v>
      </c>
      <c r="I35" s="137"/>
      <c r="J35" s="137"/>
      <c r="K35" s="139"/>
      <c r="L35" s="169">
        <f>$Q33/L33</f>
        <v>1.0659737927361859</v>
      </c>
      <c r="M35" s="138">
        <f>$Q33/M33</f>
        <v>0.96520771639243252</v>
      </c>
      <c r="N35" s="138">
        <f t="shared" ref="N35" si="4">$Q33/N33</f>
        <v>1.013398620760289</v>
      </c>
      <c r="O35" s="137"/>
      <c r="P35" s="137"/>
      <c r="Q35" s="139"/>
      <c r="R35" s="456"/>
      <c r="S35" s="138">
        <f>$W33/S33</f>
        <v>0.90504837272168759</v>
      </c>
      <c r="T35" s="138">
        <f>$W33/T33</f>
        <v>0.91719189680662261</v>
      </c>
      <c r="U35" s="137"/>
      <c r="V35" s="137"/>
      <c r="W35" s="139"/>
    </row>
    <row r="36" spans="1:23" ht="25.9" customHeight="1">
      <c r="A36" s="495" t="s">
        <v>60</v>
      </c>
      <c r="B36" s="492" t="s">
        <v>61</v>
      </c>
      <c r="C36" s="507" t="s">
        <v>62</v>
      </c>
      <c r="D36" s="160" t="s">
        <v>63</v>
      </c>
      <c r="E36" s="399"/>
      <c r="F36" s="400"/>
      <c r="G36" s="448"/>
      <c r="H36" s="170">
        <f>'Power Capacity'!X6</f>
        <v>1127.3900000000001</v>
      </c>
      <c r="I36" s="161">
        <f>'Power Capacity'!K40</f>
        <v>1266.9322999999999</v>
      </c>
      <c r="J36" s="161">
        <f>'Power Capacity'!K41</f>
        <v>1370.3236999999999</v>
      </c>
      <c r="K36" s="162">
        <f>K37</f>
        <v>1110</v>
      </c>
      <c r="L36" s="170">
        <f>'Power Capacity'!W7</f>
        <v>2143.08</v>
      </c>
      <c r="M36" s="161">
        <f>'Power Capacity'!W8</f>
        <v>2531.9144699999997</v>
      </c>
      <c r="N36" s="161">
        <f>'Power Capacity'!S10</f>
        <v>2471.9003905932382</v>
      </c>
      <c r="O36" s="161">
        <f>'Power Capacity'!K43</f>
        <v>2417.5817999999999</v>
      </c>
      <c r="P36" s="161">
        <f>'Power Capacity'!K44</f>
        <v>2868.6918000000001</v>
      </c>
      <c r="Q36" s="448"/>
      <c r="R36" s="457"/>
      <c r="S36" s="161">
        <f>'Power Capacity'!X9</f>
        <v>3207.1303900000003</v>
      </c>
      <c r="T36" s="161">
        <f>'Power Capacity'!X11</f>
        <v>2881.6331899999996</v>
      </c>
      <c r="U36" s="161">
        <f>'Power Capacity'!K46</f>
        <v>2787.0306</v>
      </c>
      <c r="V36" s="161">
        <f>'Power Capacity'!K47</f>
        <v>3488.1085000000003</v>
      </c>
      <c r="W36" s="448"/>
    </row>
    <row r="37" spans="1:23" ht="25.9" customHeight="1">
      <c r="A37" s="496"/>
      <c r="B37" s="498"/>
      <c r="C37" s="505"/>
      <c r="D37" s="132" t="s">
        <v>64</v>
      </c>
      <c r="E37" s="432"/>
      <c r="F37" s="432"/>
      <c r="G37" s="440"/>
      <c r="H37" s="172"/>
      <c r="I37" s="163">
        <f>900+623</f>
        <v>1523</v>
      </c>
      <c r="J37" s="163">
        <f>I37</f>
        <v>1523</v>
      </c>
      <c r="K37" s="479">
        <f>600+510</f>
        <v>1110</v>
      </c>
      <c r="L37" s="172"/>
      <c r="M37" s="431"/>
      <c r="N37" s="431"/>
      <c r="O37" s="431"/>
      <c r="P37" s="431"/>
      <c r="Q37" s="173"/>
      <c r="R37" s="458"/>
      <c r="S37" s="431"/>
      <c r="T37" s="431"/>
      <c r="U37" s="431"/>
      <c r="V37" s="431"/>
      <c r="W37" s="173"/>
    </row>
    <row r="38" spans="1:23" ht="25.9" customHeight="1">
      <c r="A38" s="496"/>
      <c r="B38" s="498"/>
      <c r="C38" s="505"/>
      <c r="D38" s="132" t="s">
        <v>45</v>
      </c>
      <c r="E38" s="433"/>
      <c r="F38" s="433"/>
      <c r="G38" s="441"/>
      <c r="H38" s="168">
        <f>IF(AND(H36&gt;I36,H36&lt;J36),1,IF(H36&gt;MAX(I36:J36),H36/MAX(I36:J36),H36/MIN(I36:J36)))</f>
        <v>0.88985812422652744</v>
      </c>
      <c r="I38" s="134"/>
      <c r="J38" s="134"/>
      <c r="K38" s="142"/>
      <c r="L38" s="168">
        <f>IF(AND(L36&gt;$O36,L36&lt;$P36),1,IF(L36&gt;MAX($O36:$P36),L36/MAX($O36:$P36),L36/MIN($O36:$P36)))</f>
        <v>0.8864560446310441</v>
      </c>
      <c r="M38" s="427">
        <f>IF(AND(M36&gt;$O36,M36&lt;$P36),1,IF(M36&gt;MAX($O36:$P36),M36/MAX($O36:$P36),M36/MIN($O36:$P36)))</f>
        <v>1</v>
      </c>
      <c r="N38" s="427">
        <f>IF(AND(N36&gt;$O36,N36&lt;$P36),1,IF(N36&gt;MAX($O36:$P36),N36/MAX($O36:$P36),N36/MIN($O36:$P36)))</f>
        <v>1</v>
      </c>
      <c r="O38" s="134"/>
      <c r="P38" s="134"/>
      <c r="Q38" s="142"/>
      <c r="R38" s="452"/>
      <c r="S38" s="427">
        <f>IF(AND(S36&gt;$U36,S36&lt;$V36),1,IF(S36&gt;MAX($U36:$V36),S36/MAX($U36:$V36),S36/MIN($U36:$V36)))</f>
        <v>1</v>
      </c>
      <c r="T38" s="427">
        <f>IF(AND(T36&gt;$U36,T36&lt;$V36),1,IF(T36&gt;MAX($U36:$V36),T36/MAX($U36:$V36),T36/MIN($U36:$V36)))</f>
        <v>1</v>
      </c>
      <c r="U38" s="134"/>
      <c r="V38" s="134"/>
      <c r="W38" s="142"/>
    </row>
    <row r="39" spans="1:23" ht="25.9" customHeight="1" thickBot="1">
      <c r="A39" s="497"/>
      <c r="B39" s="499"/>
      <c r="C39" s="506"/>
      <c r="D39" s="133" t="s">
        <v>46</v>
      </c>
      <c r="E39" s="401"/>
      <c r="F39" s="401"/>
      <c r="G39" s="449"/>
      <c r="H39" s="169">
        <f>H36/K36</f>
        <v>1.0156666666666667</v>
      </c>
      <c r="I39" s="137"/>
      <c r="J39" s="137"/>
      <c r="K39" s="139"/>
      <c r="L39" s="169" t="e">
        <f>L36/$Q36</f>
        <v>#DIV/0!</v>
      </c>
      <c r="M39" s="138" t="e">
        <f>M36/$Q36</f>
        <v>#DIV/0!</v>
      </c>
      <c r="N39" s="138" t="e">
        <f>N36/$Q36</f>
        <v>#DIV/0!</v>
      </c>
      <c r="O39" s="137"/>
      <c r="P39" s="137"/>
      <c r="Q39" s="139"/>
      <c r="R39" s="456"/>
      <c r="S39" s="138" t="e">
        <f>S36/$W36</f>
        <v>#DIV/0!</v>
      </c>
      <c r="T39" s="138" t="e">
        <f>T36/$W36</f>
        <v>#DIV/0!</v>
      </c>
      <c r="U39" s="137"/>
      <c r="V39" s="137"/>
      <c r="W39" s="139"/>
    </row>
    <row r="40" spans="1:23" ht="25.9" customHeight="1">
      <c r="A40" s="495" t="s">
        <v>65</v>
      </c>
      <c r="B40" s="492" t="s">
        <v>66</v>
      </c>
      <c r="C40" s="507" t="s">
        <v>62</v>
      </c>
      <c r="D40" s="160" t="s">
        <v>67</v>
      </c>
      <c r="E40" s="399"/>
      <c r="F40" s="400"/>
      <c r="G40" s="448"/>
      <c r="H40" s="170">
        <f>'Carbon capture'!B19</f>
        <v>47.244999999999997</v>
      </c>
      <c r="I40" s="161">
        <v>28.9</v>
      </c>
      <c r="J40" s="161">
        <v>40.9</v>
      </c>
      <c r="K40" s="162">
        <f>'Carbon capture'!B58</f>
        <v>50.108659711680041</v>
      </c>
      <c r="L40" s="170">
        <f>'Carbon capture'!C19</f>
        <v>344</v>
      </c>
      <c r="M40" s="161">
        <f>SUM('Carbon capture'!B8:B10)+'Carbon capture'!D19</f>
        <v>250.36681999999999</v>
      </c>
      <c r="N40" s="161">
        <f>SUM('Carbon capture'!D8:D10)+'Carbon capture'!F19</f>
        <v>444.40755000000001</v>
      </c>
      <c r="O40" s="161">
        <v>169</v>
      </c>
      <c r="P40" s="161">
        <v>233</v>
      </c>
      <c r="Q40" s="162">
        <f>'Carbon capture'!E58</f>
        <v>343.7147310090279</v>
      </c>
      <c r="R40" s="457"/>
      <c r="S40" s="161">
        <f>SUM('Carbon capture'!C8:C10)+'Carbon capture'!E19</f>
        <v>306.28093999999999</v>
      </c>
      <c r="T40" s="161">
        <f>SUM('Carbon capture'!E8:E10)+'Carbon capture'!G19-52</f>
        <v>547.97948999999994</v>
      </c>
      <c r="U40" s="161">
        <v>307.55</v>
      </c>
      <c r="V40" s="161">
        <v>347.9</v>
      </c>
      <c r="W40" s="162">
        <f>'Carbon capture'!J58</f>
        <v>452.29860939493301</v>
      </c>
    </row>
    <row r="41" spans="1:23" ht="25.9" customHeight="1">
      <c r="A41" s="496"/>
      <c r="B41" s="498"/>
      <c r="C41" s="505"/>
      <c r="D41" s="132" t="s">
        <v>68</v>
      </c>
      <c r="E41" s="432"/>
      <c r="F41" s="432"/>
      <c r="G41" s="440"/>
      <c r="H41" s="172"/>
      <c r="I41" s="431"/>
      <c r="J41" s="431"/>
      <c r="K41" s="173"/>
      <c r="L41" s="172"/>
      <c r="M41" s="431"/>
      <c r="N41" s="431"/>
      <c r="O41" s="431"/>
      <c r="P41" s="431"/>
      <c r="Q41" s="173"/>
      <c r="R41" s="458"/>
      <c r="S41" s="431"/>
      <c r="T41" s="431"/>
      <c r="U41" s="431"/>
      <c r="V41" s="163">
        <v>425</v>
      </c>
      <c r="W41" s="164">
        <v>500</v>
      </c>
    </row>
    <row r="42" spans="1:23" ht="25.9" customHeight="1">
      <c r="A42" s="496"/>
      <c r="B42" s="498"/>
      <c r="C42" s="505"/>
      <c r="D42" s="132" t="s">
        <v>45</v>
      </c>
      <c r="E42" s="433"/>
      <c r="F42" s="433"/>
      <c r="G42" s="441"/>
      <c r="H42" s="168">
        <f>IF(AND(H40&gt;I40,H40&lt;J40),1,IF(H40&gt;MAX(I40:J40),H40/MAX(I40:J40),H40/MIN(I40:J40)))</f>
        <v>1.1551344743276284</v>
      </c>
      <c r="I42" s="134"/>
      <c r="J42" s="134"/>
      <c r="K42" s="142"/>
      <c r="L42" s="168">
        <f>IF(AND(L40&gt;$O40,L40&lt;$P40),1,IF(L40&gt;MAX($O40:$P40),L40/MAX($O40:$P40),L40/MIN($O40:$P40)))</f>
        <v>1.4763948497854078</v>
      </c>
      <c r="M42" s="427">
        <f>IF(AND(M40&gt;$O40,M40&lt;$P40),1,IF(M40&gt;MAX($O40:$P40),M40/MAX($O40:$P40),M40/MIN($O40:$P40)))</f>
        <v>1.0745357081545064</v>
      </c>
      <c r="N42" s="427">
        <f>IF(AND(N40&gt;$O40,N40&lt;$P40),1,IF(N40&gt;MAX($O40:$P40),N40/MAX($O40:$P40),N40/MIN($O40:$P40)))</f>
        <v>1.9073285407725322</v>
      </c>
      <c r="O42" s="134"/>
      <c r="P42" s="134"/>
      <c r="Q42" s="142"/>
      <c r="R42" s="452"/>
      <c r="S42" s="427">
        <f>IF(AND(S40&gt;$U40,S40&lt;$V40),1,IF(S40&gt;MAX($U40:$V40),S40/MAX($U40:$V40),S40/MIN($U40:$V40)))</f>
        <v>0.99587364656153465</v>
      </c>
      <c r="T42" s="466">
        <f>IF(AND(T40&gt;$U40,T40&lt;$V40),1,IF(T40&gt;MAX($U40:$V40),T40/MAX($U40:$V40),T40/MIN($U40:$V40)))</f>
        <v>1.5751063236562231</v>
      </c>
      <c r="U42" s="468"/>
      <c r="V42" s="134"/>
      <c r="W42" s="142"/>
    </row>
    <row r="43" spans="1:23" ht="25.9" customHeight="1" thickBot="1">
      <c r="A43" s="497"/>
      <c r="B43" s="499"/>
      <c r="C43" s="506"/>
      <c r="D43" s="133" t="s">
        <v>46</v>
      </c>
      <c r="E43" s="401"/>
      <c r="F43" s="401"/>
      <c r="G43" s="449"/>
      <c r="H43" s="169">
        <f>H40/K40</f>
        <v>0.94285100164009095</v>
      </c>
      <c r="I43" s="137"/>
      <c r="J43" s="137"/>
      <c r="K43" s="139"/>
      <c r="L43" s="169">
        <f>L40/$Q40</f>
        <v>1.0008299585826148</v>
      </c>
      <c r="M43" s="138">
        <f>M40/$Q40</f>
        <v>0.72841457584610747</v>
      </c>
      <c r="N43" s="138">
        <f>N40/$Q40</f>
        <v>1.2929546216869225</v>
      </c>
      <c r="O43" s="137"/>
      <c r="P43" s="137"/>
      <c r="Q43" s="139"/>
      <c r="R43" s="456"/>
      <c r="S43" s="138">
        <f>S40/$W40</f>
        <v>0.67716533643499455</v>
      </c>
      <c r="T43" s="467">
        <f>T40/$W40</f>
        <v>1.2115436099462367</v>
      </c>
      <c r="U43" s="137"/>
      <c r="V43" s="137"/>
      <c r="W43" s="139"/>
    </row>
    <row r="44" spans="1:23" ht="25.9" customHeight="1">
      <c r="A44" s="495" t="s">
        <v>69</v>
      </c>
      <c r="B44" s="492" t="s">
        <v>70</v>
      </c>
      <c r="C44" s="507" t="s">
        <v>62</v>
      </c>
      <c r="D44" s="160" t="s">
        <v>54</v>
      </c>
      <c r="E44" s="399"/>
      <c r="F44" s="400"/>
      <c r="G44" s="448"/>
      <c r="H44" s="170">
        <f>'H2 demand &amp; supply'!D16</f>
        <v>483.47964370044201</v>
      </c>
      <c r="I44" s="161">
        <f>'H2 demand &amp; supply'!C139</f>
        <v>175.27791800000003</v>
      </c>
      <c r="J44" s="161">
        <f>'H2 demand &amp; supply'!C140</f>
        <v>196.22237920000003</v>
      </c>
      <c r="K44" s="448"/>
      <c r="L44" s="170">
        <f>'H2 demand &amp; supply'!E16</f>
        <v>1688.1672920451399</v>
      </c>
      <c r="M44" s="161">
        <f>'H2 demand &amp; supply'!F16</f>
        <v>1750.4328741653826</v>
      </c>
      <c r="N44" s="161">
        <f>'H2 demand &amp; supply'!H16</f>
        <v>2188.6893575431213</v>
      </c>
      <c r="O44" s="161">
        <f>'H2 demand &amp; supply'!D139</f>
        <v>446.02813459999999</v>
      </c>
      <c r="P44" s="161">
        <f>'H2 demand &amp; supply'!D140</f>
        <v>617.33382719999997</v>
      </c>
      <c r="Q44" s="162">
        <f>'H2 demand &amp; supply'!L104</f>
        <v>1077.773235258456</v>
      </c>
      <c r="R44" s="457"/>
      <c r="S44" s="161">
        <f>'H2 demand &amp; supply'!G16</f>
        <v>2331.8206367785688</v>
      </c>
      <c r="T44" s="161">
        <f>'H2 demand &amp; supply'!I16</f>
        <v>3114.0910429749301</v>
      </c>
      <c r="U44" s="161">
        <f>'H2 demand &amp; supply'!E139</f>
        <v>791.88952240000003</v>
      </c>
      <c r="V44" s="161">
        <f>'H2 demand &amp; supply'!E140</f>
        <v>1264.9732342</v>
      </c>
      <c r="W44" s="162">
        <f>'H2 demand &amp; supply'!N33</f>
        <v>2039.5883383715943</v>
      </c>
    </row>
    <row r="45" spans="1:23" ht="25.9" customHeight="1">
      <c r="A45" s="496"/>
      <c r="B45" s="498"/>
      <c r="C45" s="505"/>
      <c r="D45" s="132" t="s">
        <v>45</v>
      </c>
      <c r="E45" s="433"/>
      <c r="F45" s="433"/>
      <c r="G45" s="441"/>
      <c r="H45" s="168">
        <f>IF(H44&gt;MAX(I44:J44),H44/MAX(I44:J44),H44/MIN(I44:J44))</f>
        <v>2.4639373229067538</v>
      </c>
      <c r="I45" s="134"/>
      <c r="J45" s="134"/>
      <c r="K45" s="142"/>
      <c r="L45" s="168">
        <f>IF(L44&gt;MAX($O44:$P44),L44/MAX($O44:$P44),L44/MIN($O44:$P44))</f>
        <v>2.7346100564455509</v>
      </c>
      <c r="M45" s="427">
        <f>IF(M44&gt;MAX($O44:$P44),M44/MAX($O44:$P44),M44/MIN($O44:$P44))</f>
        <v>2.8354721498167446</v>
      </c>
      <c r="N45" s="427">
        <f>IF(N44&gt;MAX($O44:$P44),N44/MAX($O44:$P44),N44/MIN($O44:$P44))</f>
        <v>3.545390291457402</v>
      </c>
      <c r="O45" s="134"/>
      <c r="P45" s="134"/>
      <c r="Q45" s="142"/>
      <c r="R45" s="452"/>
      <c r="S45" s="427">
        <f>IF(S44&gt;MAX($U44:$V44),S44/MAX($U44:$V44),S44/MIN($U44:$V44))</f>
        <v>1.8433754752552287</v>
      </c>
      <c r="T45" s="427">
        <f>IF(T44&gt;MAX($U44:$V44),T44/MAX($U44:$V44),T44/MIN($U44:$V44))</f>
        <v>2.4617841380211951</v>
      </c>
      <c r="U45" s="134"/>
      <c r="V45" s="134"/>
      <c r="W45" s="142"/>
    </row>
    <row r="46" spans="1:23" ht="25.9" customHeight="1" thickBot="1">
      <c r="A46" s="497"/>
      <c r="B46" s="499"/>
      <c r="C46" s="506"/>
      <c r="D46" s="133" t="s">
        <v>46</v>
      </c>
      <c r="E46" s="401"/>
      <c r="F46" s="401"/>
      <c r="G46" s="449"/>
      <c r="H46" s="169" t="s">
        <v>41</v>
      </c>
      <c r="I46" s="137"/>
      <c r="J46" s="137"/>
      <c r="K46" s="139"/>
      <c r="L46" s="169">
        <f>L44/$Q44</f>
        <v>1.5663473881315191</v>
      </c>
      <c r="M46" s="138">
        <f>M44/$Q44</f>
        <v>1.6241198212215942</v>
      </c>
      <c r="N46" s="138">
        <f>N44/$Q44</f>
        <v>2.0307512618999688</v>
      </c>
      <c r="O46" s="137"/>
      <c r="P46" s="137"/>
      <c r="Q46" s="139"/>
      <c r="R46" s="456"/>
      <c r="S46" s="138">
        <f>S44/$W44</f>
        <v>1.1432800398536758</v>
      </c>
      <c r="T46" s="138">
        <f>T44/$W44</f>
        <v>1.5268233223284744</v>
      </c>
      <c r="U46" s="137"/>
      <c r="V46" s="137"/>
      <c r="W46" s="139"/>
    </row>
    <row r="47" spans="1:23" ht="25.9" customHeight="1">
      <c r="A47" s="495" t="s">
        <v>71</v>
      </c>
      <c r="B47" s="492" t="s">
        <v>72</v>
      </c>
      <c r="C47" s="507" t="s">
        <v>62</v>
      </c>
      <c r="D47" s="160" t="s">
        <v>54</v>
      </c>
      <c r="E47" s="399"/>
      <c r="F47" s="400"/>
      <c r="G47" s="448"/>
      <c r="H47" s="170">
        <f>'H2 demand &amp; supply'!E69</f>
        <v>167.20699999999999</v>
      </c>
      <c r="I47" s="400"/>
      <c r="J47" s="400"/>
      <c r="K47" s="448"/>
      <c r="L47" s="170">
        <f>'H2 demand &amp; supply'!F69</f>
        <v>710.46500000000003</v>
      </c>
      <c r="M47" s="161">
        <f>'H2 demand &amp; supply'!G69</f>
        <v>657.92068183879007</v>
      </c>
      <c r="N47" s="161">
        <f>'H2 demand &amp; supply'!I69</f>
        <v>823.47990611580008</v>
      </c>
      <c r="O47" s="400"/>
      <c r="P47" s="400"/>
      <c r="Q47" s="162">
        <f>'H2 demand &amp; supply'!L124</f>
        <v>15.022867174032923</v>
      </c>
      <c r="R47" s="457"/>
      <c r="S47" s="161">
        <f>'H2 demand &amp; supply'!H69</f>
        <v>564.10321668732001</v>
      </c>
      <c r="T47" s="161">
        <f>'H2 demand &amp; supply'!J69</f>
        <v>981.40211769680002</v>
      </c>
      <c r="U47" s="400"/>
      <c r="V47" s="400"/>
      <c r="W47" s="162">
        <f>'H2 demand &amp; supply'!L128</f>
        <v>41.52897592062596</v>
      </c>
    </row>
    <row r="48" spans="1:23" ht="25.9" customHeight="1">
      <c r="A48" s="496"/>
      <c r="B48" s="498"/>
      <c r="C48" s="505"/>
      <c r="D48" s="132" t="s">
        <v>45</v>
      </c>
      <c r="E48" s="433"/>
      <c r="F48" s="433"/>
      <c r="G48" s="441"/>
      <c r="H48" s="450"/>
      <c r="I48" s="134"/>
      <c r="J48" s="134"/>
      <c r="K48" s="142"/>
      <c r="L48" s="450"/>
      <c r="M48" s="451"/>
      <c r="N48" s="451"/>
      <c r="O48" s="134"/>
      <c r="P48" s="134"/>
      <c r="Q48" s="142"/>
      <c r="R48" s="452"/>
      <c r="S48" s="451"/>
      <c r="T48" s="451"/>
      <c r="U48" s="134"/>
      <c r="V48" s="134"/>
      <c r="W48" s="142"/>
    </row>
    <row r="49" spans="1:23" ht="25.9" customHeight="1" thickBot="1">
      <c r="A49" s="497"/>
      <c r="B49" s="499"/>
      <c r="C49" s="506"/>
      <c r="D49" s="133" t="s">
        <v>46</v>
      </c>
      <c r="E49" s="401"/>
      <c r="F49" s="401"/>
      <c r="G49" s="449"/>
      <c r="H49" s="169" t="s">
        <v>41</v>
      </c>
      <c r="I49" s="137"/>
      <c r="J49" s="137"/>
      <c r="K49" s="139"/>
      <c r="L49" s="169">
        <f>L47/$Q47</f>
        <v>47.292237345214716</v>
      </c>
      <c r="M49" s="138">
        <f>M47/$Q47</f>
        <v>43.794614850619745</v>
      </c>
      <c r="N49" s="138">
        <f>N47/$Q47</f>
        <v>54.815095985085186</v>
      </c>
      <c r="O49" s="137"/>
      <c r="P49" s="137"/>
      <c r="Q49" s="139"/>
      <c r="R49" s="456"/>
      <c r="S49" s="138">
        <f>S47/$W47</f>
        <v>13.583364486653524</v>
      </c>
      <c r="T49" s="138">
        <f>T47/$W47</f>
        <v>23.631743763018548</v>
      </c>
      <c r="U49" s="137"/>
      <c r="V49" s="137"/>
      <c r="W49" s="139"/>
    </row>
    <row r="50" spans="1:23" ht="25.9" customHeight="1">
      <c r="A50" s="489" t="s">
        <v>73</v>
      </c>
      <c r="B50" s="492" t="s">
        <v>74</v>
      </c>
      <c r="C50" s="507" t="s">
        <v>62</v>
      </c>
      <c r="D50" s="160" t="s">
        <v>63</v>
      </c>
      <c r="E50" s="399"/>
      <c r="F50" s="400"/>
      <c r="G50" s="448"/>
      <c r="H50" s="170">
        <f>'Electrolysis capacity'!F6</f>
        <v>103.4</v>
      </c>
      <c r="I50" s="161">
        <v>50</v>
      </c>
      <c r="J50" s="161">
        <v>56</v>
      </c>
      <c r="K50" s="162">
        <f>'Electrolysis capacity'!E21</f>
        <v>29.872218253458591</v>
      </c>
      <c r="L50" s="170">
        <f>'Electrolysis capacity'!F7</f>
        <v>306.10000000000002</v>
      </c>
      <c r="M50" s="161">
        <f>'Electrolysis capacity'!F8</f>
        <v>278</v>
      </c>
      <c r="N50" s="161">
        <f>'Electrolysis capacity'!F10</f>
        <v>290</v>
      </c>
      <c r="O50" s="161"/>
      <c r="P50" s="161"/>
      <c r="Q50" s="162">
        <f>'Electrolysis capacity'!E24</f>
        <v>301.85883601870489</v>
      </c>
      <c r="R50" s="457"/>
      <c r="S50" s="161">
        <f>'Electrolysis capacity'!F9</f>
        <v>517</v>
      </c>
      <c r="T50" s="161">
        <f>'Electrolysis capacity'!F11</f>
        <v>528</v>
      </c>
      <c r="U50" s="161"/>
      <c r="V50" s="161"/>
      <c r="W50" s="162">
        <f>'Electrolysis capacity'!E28</f>
        <v>536.18664541713042</v>
      </c>
    </row>
    <row r="51" spans="1:23" ht="25.9" customHeight="1">
      <c r="A51" s="490"/>
      <c r="B51" s="493"/>
      <c r="C51" s="505"/>
      <c r="D51" s="132" t="s">
        <v>68</v>
      </c>
      <c r="E51" s="433"/>
      <c r="F51" s="433"/>
      <c r="G51" s="441"/>
      <c r="H51" s="172"/>
      <c r="I51" s="163">
        <v>50</v>
      </c>
      <c r="J51" s="434">
        <v>150</v>
      </c>
      <c r="K51" s="173"/>
      <c r="L51" s="172"/>
      <c r="M51" s="431"/>
      <c r="N51" s="431"/>
      <c r="O51" s="431"/>
      <c r="P51" s="431"/>
      <c r="Q51" s="173"/>
      <c r="R51" s="458"/>
      <c r="S51" s="431"/>
      <c r="T51" s="431"/>
      <c r="U51" s="431"/>
      <c r="V51" s="163"/>
      <c r="W51" s="164"/>
    </row>
    <row r="52" spans="1:23" ht="25.9" customHeight="1">
      <c r="A52" s="490"/>
      <c r="B52" s="493"/>
      <c r="C52" s="505"/>
      <c r="D52" s="132" t="s">
        <v>45</v>
      </c>
      <c r="E52" s="433"/>
      <c r="F52" s="433"/>
      <c r="G52" s="441"/>
      <c r="H52" s="168">
        <f>IF(AND(H50&gt;I50,H50&lt;J50),1,IF(H50&gt;MAX(I50:J50),H50/MAX(I50:J50),H50/MIN(I50:J50)))</f>
        <v>1.8464285714285715</v>
      </c>
      <c r="I52" s="134"/>
      <c r="J52" s="134"/>
      <c r="K52" s="142"/>
      <c r="L52" s="450"/>
      <c r="M52" s="451"/>
      <c r="N52" s="451"/>
      <c r="O52" s="134"/>
      <c r="P52" s="134"/>
      <c r="Q52" s="142"/>
      <c r="R52" s="452"/>
      <c r="S52" s="451"/>
      <c r="T52" s="451"/>
      <c r="U52" s="134"/>
      <c r="V52" s="134"/>
      <c r="W52" s="142"/>
    </row>
    <row r="53" spans="1:23" ht="25.9" customHeight="1" thickBot="1">
      <c r="A53" s="491"/>
      <c r="B53" s="494"/>
      <c r="C53" s="506"/>
      <c r="D53" s="133" t="s">
        <v>46</v>
      </c>
      <c r="E53" s="401"/>
      <c r="F53" s="401"/>
      <c r="G53" s="449"/>
      <c r="H53" s="169">
        <f>H50/K50</f>
        <v>3.4614101678916462</v>
      </c>
      <c r="I53" s="137"/>
      <c r="J53" s="137"/>
      <c r="K53" s="139"/>
      <c r="L53" s="169">
        <f>L50/$Q50</f>
        <v>1.0140501568124789</v>
      </c>
      <c r="M53" s="138">
        <f>M50/$Q50</f>
        <v>0.92096028616095749</v>
      </c>
      <c r="N53" s="138">
        <f>N50/$Q50</f>
        <v>0.96071396757797722</v>
      </c>
      <c r="O53" s="137"/>
      <c r="P53" s="137"/>
      <c r="Q53" s="139"/>
      <c r="R53" s="456"/>
      <c r="S53" s="138">
        <f>S50/$W50</f>
        <v>0.96421648024783602</v>
      </c>
      <c r="T53" s="138">
        <f>T50/$W50</f>
        <v>0.98473172450842827</v>
      </c>
      <c r="U53" s="137"/>
      <c r="V53" s="137"/>
      <c r="W53" s="139"/>
    </row>
    <row r="54" spans="1:23" ht="25.9" customHeight="1">
      <c r="A54" s="489" t="s">
        <v>75</v>
      </c>
      <c r="B54" s="492" t="s">
        <v>76</v>
      </c>
      <c r="C54" s="507" t="s">
        <v>62</v>
      </c>
      <c r="D54" s="438" t="s">
        <v>54</v>
      </c>
      <c r="E54" s="460"/>
      <c r="F54" s="460"/>
      <c r="G54" s="461"/>
      <c r="H54" s="462">
        <f>'H2 demand &amp; supply'!E64</f>
        <v>192.85562859166669</v>
      </c>
      <c r="I54" s="463">
        <f>'H2 demand &amp; supply'!J139</f>
        <v>91.027850600000008</v>
      </c>
      <c r="J54" s="463">
        <f>'H2 demand &amp; supply'!J140</f>
        <v>120.30565180000001</v>
      </c>
      <c r="K54" s="464">
        <f>'H2 demand &amp; supply'!D116</f>
        <v>104.67</v>
      </c>
      <c r="L54" s="462">
        <f>'H2 demand &amp; supply'!F64</f>
        <v>709.81421251388235</v>
      </c>
      <c r="M54" s="463">
        <f>'H2 demand &amp; supply'!G64</f>
        <v>959.00331007524187</v>
      </c>
      <c r="N54" s="463">
        <f>'H2 demand &amp; supply'!I64</f>
        <v>1163.0827031370343</v>
      </c>
      <c r="O54" s="463">
        <f>'H2 demand &amp; supply'!K139</f>
        <v>291.91690019999999</v>
      </c>
      <c r="P54" s="463">
        <f>'H2 demand &amp; supply'!K140</f>
        <v>425.6670072</v>
      </c>
      <c r="Q54" s="464">
        <f>'H2 demand &amp; supply'!E116</f>
        <v>1163</v>
      </c>
      <c r="R54" s="465"/>
      <c r="S54" s="463">
        <f>'H2 demand &amp; supply'!H64</f>
        <v>1795.4778873964967</v>
      </c>
      <c r="T54" s="463">
        <f>'H2 demand &amp; supply'!J64</f>
        <v>2082.5118539387477</v>
      </c>
      <c r="U54" s="463">
        <f>'H2 demand &amp; supply'!L139</f>
        <v>529.30597899999998</v>
      </c>
      <c r="V54" s="463">
        <f>'H2 demand &amp; supply'!L140</f>
        <v>883.94515160000003</v>
      </c>
      <c r="W54" s="464">
        <f>'H2 demand &amp; supply'!F116</f>
        <v>2151.5500000000002</v>
      </c>
    </row>
    <row r="55" spans="1:23" ht="25.9" customHeight="1">
      <c r="A55" s="490"/>
      <c r="B55" s="493"/>
      <c r="C55" s="505"/>
      <c r="D55" s="132" t="s">
        <v>45</v>
      </c>
      <c r="E55" s="433"/>
      <c r="F55" s="433"/>
      <c r="G55" s="441"/>
      <c r="H55" s="168">
        <f>IF(H54&gt;MAX(I54:J54),H54/MAX(I54:J54),H54/MIN(I54:J54))</f>
        <v>1.6030471196172571</v>
      </c>
      <c r="I55" s="134"/>
      <c r="J55" s="134"/>
      <c r="K55" s="142"/>
      <c r="L55" s="168">
        <f>IF(L54&gt;MAX($O54:$P54),L54/MAX($O54:$P54),L54/MIN($O54:$P54))</f>
        <v>1.6675340125206735</v>
      </c>
      <c r="M55" s="427">
        <f t="shared" ref="M55:N55" si="5">IF(M54&gt;MAX($O54:$P54),M54/MAX($O54:$P54),M54/MIN($O54:$P54))</f>
        <v>2.2529425439464545</v>
      </c>
      <c r="N55" s="427">
        <f t="shared" si="5"/>
        <v>2.7323769130891531</v>
      </c>
      <c r="O55" s="134"/>
      <c r="P55" s="134"/>
      <c r="Q55" s="142"/>
      <c r="R55" s="452"/>
      <c r="S55" s="427">
        <f>IF(S54&gt;MAX($U54:$V54),S54/MAX($U54:$V54),S54/MIN($U54:$V54))</f>
        <v>2.0312096108526205</v>
      </c>
      <c r="T55" s="427">
        <f>IF(T54&gt;MAX($U54:$V54),T54/MAX($U54:$V54),T54/MIN($U54:$V54))</f>
        <v>2.3559288154579066</v>
      </c>
      <c r="U55" s="135"/>
      <c r="V55" s="135"/>
      <c r="W55" s="136"/>
    </row>
    <row r="56" spans="1:23" ht="25.9" customHeight="1" thickBot="1">
      <c r="A56" s="491"/>
      <c r="B56" s="494"/>
      <c r="C56" s="506"/>
      <c r="D56" s="133" t="s">
        <v>46</v>
      </c>
      <c r="E56" s="401"/>
      <c r="F56" s="401"/>
      <c r="G56" s="449"/>
      <c r="H56" s="169">
        <f>H54/K54</f>
        <v>1.8425110212254387</v>
      </c>
      <c r="I56" s="137"/>
      <c r="J56" s="137"/>
      <c r="K56" s="139"/>
      <c r="L56" s="169">
        <f>L54/$Q54</f>
        <v>0.61033036329654544</v>
      </c>
      <c r="M56" s="138">
        <f>M54/$Q54</f>
        <v>0.82459441966916758</v>
      </c>
      <c r="N56" s="138">
        <f>N54/$Q54</f>
        <v>1.0000711118977079</v>
      </c>
      <c r="O56" s="137"/>
      <c r="P56" s="137"/>
      <c r="Q56" s="139"/>
      <c r="R56" s="456"/>
      <c r="S56" s="138">
        <f>S54/$W54</f>
        <v>0.83450437470497851</v>
      </c>
      <c r="T56" s="138">
        <f>T54/$W54</f>
        <v>0.96791236733459485</v>
      </c>
      <c r="U56" s="137"/>
      <c r="V56" s="137"/>
      <c r="W56" s="139"/>
    </row>
    <row r="57" spans="1:23" ht="25.9" customHeight="1">
      <c r="A57" s="490" t="s">
        <v>77</v>
      </c>
      <c r="B57" s="508" t="s">
        <v>78</v>
      </c>
      <c r="C57" s="507" t="s">
        <v>62</v>
      </c>
      <c r="D57" s="160" t="s">
        <v>79</v>
      </c>
      <c r="E57" s="404"/>
      <c r="F57" s="404"/>
      <c r="G57" s="471"/>
      <c r="H57" s="472">
        <f>FED!D25</f>
        <v>4.5283156851728387E-2</v>
      </c>
      <c r="I57" s="405">
        <f>FED!E52</f>
        <v>1.5989418096676401E-2</v>
      </c>
      <c r="J57" s="405">
        <f>FED!E53</f>
        <v>1.7981600932680999E-2</v>
      </c>
      <c r="K57" s="406"/>
      <c r="L57" s="472">
        <f>FED!E25</f>
        <v>9.535567305490518E-2</v>
      </c>
      <c r="M57" s="405">
        <f>FED!F25</f>
        <v>0.10770096211330121</v>
      </c>
      <c r="N57" s="405">
        <f>FED!H25</f>
        <v>0.15762686471393111</v>
      </c>
      <c r="O57" s="405">
        <f>FED!G52</f>
        <v>5.5579593009369904E-2</v>
      </c>
      <c r="P57" s="405">
        <f>FED!G53</f>
        <v>7.7381885034418604E-2</v>
      </c>
      <c r="Q57" s="406"/>
      <c r="R57" s="473"/>
      <c r="S57" s="405">
        <f>FED!G25</f>
        <v>0.17256363142579745</v>
      </c>
      <c r="T57" s="405">
        <f>FED!I25</f>
        <v>0.25247647497586484</v>
      </c>
      <c r="U57" s="405">
        <f>FED!I52</f>
        <v>0.113481840039488</v>
      </c>
      <c r="V57" s="405">
        <f>FED!I53</f>
        <v>0.16847078147890499</v>
      </c>
      <c r="W57" s="406"/>
    </row>
    <row r="58" spans="1:23" ht="25.9" customHeight="1">
      <c r="A58" s="490"/>
      <c r="B58" s="509"/>
      <c r="C58" s="505"/>
      <c r="D58" s="132" t="s">
        <v>55</v>
      </c>
      <c r="E58" s="435"/>
      <c r="F58" s="435"/>
      <c r="G58" s="442"/>
      <c r="H58" s="168">
        <f>IF(H57&gt;MAX(I57:J57),H57/MAX(I57:J57),H57/MIN(I57:J57))</f>
        <v>2.5183050731277024</v>
      </c>
      <c r="I58" s="134"/>
      <c r="J58" s="134"/>
      <c r="K58" s="142"/>
      <c r="L58" s="168">
        <f>IF(L57&gt;MAX($O57:$P57),L57/MAX($O57:$P57),L57/MIN($O57:$P57))</f>
        <v>1.2322738456486557</v>
      </c>
      <c r="M58" s="427">
        <f t="shared" ref="M58:N58" si="6">IF(M57&gt;MAX($O57:$P57),M57/MAX($O57:$P57),M57/MIN($O57:$P57))</f>
        <v>1.3918110429255763</v>
      </c>
      <c r="N58" s="427">
        <f t="shared" si="6"/>
        <v>2.0369995463902235</v>
      </c>
      <c r="O58" s="134"/>
      <c r="P58" s="134"/>
      <c r="Q58" s="142"/>
      <c r="R58" s="452"/>
      <c r="S58" s="427">
        <f>S57/V57</f>
        <v>1.0242941233545886</v>
      </c>
      <c r="T58" s="427">
        <f>IF(T57&gt;MAX($U57:$V57),T57/MAX($U57:$V57),T57/MIN($U57:$V57))</f>
        <v>1.4986365751943675</v>
      </c>
      <c r="W58" s="19"/>
    </row>
    <row r="59" spans="1:23" ht="25.9" customHeight="1" thickBot="1">
      <c r="A59" s="491"/>
      <c r="B59" s="510"/>
      <c r="C59" s="506"/>
      <c r="D59" s="133" t="s">
        <v>45</v>
      </c>
      <c r="E59" s="443"/>
      <c r="F59" s="443"/>
      <c r="G59" s="444"/>
      <c r="H59" s="474"/>
      <c r="I59" s="137"/>
      <c r="J59" s="137"/>
      <c r="K59" s="139"/>
      <c r="L59" s="475"/>
      <c r="M59" s="474"/>
      <c r="N59" s="474"/>
      <c r="O59" s="137"/>
      <c r="P59" s="137"/>
      <c r="Q59" s="139"/>
      <c r="R59" s="456"/>
      <c r="S59" s="474"/>
      <c r="T59" s="474"/>
      <c r="U59" s="446"/>
      <c r="V59" s="446"/>
      <c r="W59" s="447"/>
    </row>
    <row r="61" spans="1:23">
      <c r="A61" s="476" t="s">
        <v>80</v>
      </c>
    </row>
  </sheetData>
  <mergeCells count="44">
    <mergeCell ref="C36:C39"/>
    <mergeCell ref="A24:A27"/>
    <mergeCell ref="B24:B27"/>
    <mergeCell ref="C24:C27"/>
    <mergeCell ref="A28:A31"/>
    <mergeCell ref="C28:C31"/>
    <mergeCell ref="B28:B31"/>
    <mergeCell ref="B36:B39"/>
    <mergeCell ref="C12:C17"/>
    <mergeCell ref="B12:B17"/>
    <mergeCell ref="A12:A17"/>
    <mergeCell ref="A18:A23"/>
    <mergeCell ref="B18:B23"/>
    <mergeCell ref="C18:C23"/>
    <mergeCell ref="H10:K10"/>
    <mergeCell ref="L10:Q10"/>
    <mergeCell ref="R10:W10"/>
    <mergeCell ref="A10:A11"/>
    <mergeCell ref="B10:B11"/>
    <mergeCell ref="C10:C11"/>
    <mergeCell ref="D10:D11"/>
    <mergeCell ref="E10:G10"/>
    <mergeCell ref="A32:A35"/>
    <mergeCell ref="B32:B35"/>
    <mergeCell ref="C32:C35"/>
    <mergeCell ref="A57:A59"/>
    <mergeCell ref="C40:C43"/>
    <mergeCell ref="C44:C46"/>
    <mergeCell ref="C47:C49"/>
    <mergeCell ref="C50:C53"/>
    <mergeCell ref="C54:C56"/>
    <mergeCell ref="A54:A56"/>
    <mergeCell ref="B44:B46"/>
    <mergeCell ref="B47:B49"/>
    <mergeCell ref="C57:C59"/>
    <mergeCell ref="B54:B56"/>
    <mergeCell ref="B57:B59"/>
    <mergeCell ref="A44:A46"/>
    <mergeCell ref="A50:A53"/>
    <mergeCell ref="B50:B53"/>
    <mergeCell ref="A40:A43"/>
    <mergeCell ref="B40:B43"/>
    <mergeCell ref="A36:A39"/>
    <mergeCell ref="A47:A49"/>
  </mergeCells>
  <conditionalFormatting sqref="H16:H17 H22:H23">
    <cfRule type="cellIs" dxfId="153" priority="522" operator="greaterThanOrEqual">
      <formula>2</formula>
    </cfRule>
    <cfRule type="cellIs" dxfId="152" priority="521" operator="between">
      <formula>1</formula>
      <formula>1.5</formula>
    </cfRule>
    <cfRule type="cellIs" dxfId="151" priority="520" operator="between">
      <formula>0.667</formula>
      <formula>1</formula>
    </cfRule>
    <cfRule type="cellIs" dxfId="150" priority="519" operator="between">
      <formula>0</formula>
      <formula>0.67</formula>
    </cfRule>
    <cfRule type="cellIs" dxfId="149" priority="523" operator="between">
      <formula>1.5</formula>
      <formula>2</formula>
    </cfRule>
  </conditionalFormatting>
  <conditionalFormatting sqref="H26:H27">
    <cfRule type="cellIs" dxfId="148" priority="221" operator="between">
      <formula>0</formula>
      <formula>0.67</formula>
    </cfRule>
    <cfRule type="cellIs" dxfId="147" priority="222" operator="between">
      <formula>0.667</formula>
      <formula>1</formula>
    </cfRule>
    <cfRule type="cellIs" dxfId="146" priority="223" operator="between">
      <formula>1</formula>
      <formula>1.5</formula>
    </cfRule>
    <cfRule type="cellIs" dxfId="145" priority="224" operator="greaterThanOrEqual">
      <formula>2</formula>
    </cfRule>
    <cfRule type="cellIs" dxfId="144" priority="225" operator="between">
      <formula>1.5</formula>
      <formula>2</formula>
    </cfRule>
  </conditionalFormatting>
  <conditionalFormatting sqref="H30:H31">
    <cfRule type="cellIs" dxfId="143" priority="208" operator="between">
      <formula>1</formula>
      <formula>1.5</formula>
    </cfRule>
    <cfRule type="cellIs" dxfId="142" priority="207" operator="between">
      <formula>0.667</formula>
      <formula>1</formula>
    </cfRule>
    <cfRule type="cellIs" dxfId="141" priority="206" operator="between">
      <formula>0</formula>
      <formula>0.67</formula>
    </cfRule>
    <cfRule type="cellIs" dxfId="140" priority="209" operator="greaterThanOrEqual">
      <formula>2</formula>
    </cfRule>
    <cfRule type="cellIs" dxfId="139" priority="210" operator="between">
      <formula>1.5</formula>
      <formula>2</formula>
    </cfRule>
  </conditionalFormatting>
  <conditionalFormatting sqref="H34:H35">
    <cfRule type="cellIs" dxfId="138" priority="195" operator="between">
      <formula>1.5</formula>
      <formula>2</formula>
    </cfRule>
    <cfRule type="cellIs" dxfId="137" priority="194" operator="greaterThanOrEqual">
      <formula>2</formula>
    </cfRule>
    <cfRule type="cellIs" dxfId="136" priority="193" operator="between">
      <formula>1</formula>
      <formula>1.5</formula>
    </cfRule>
    <cfRule type="cellIs" dxfId="135" priority="191" operator="between">
      <formula>0</formula>
      <formula>0.67</formula>
    </cfRule>
    <cfRule type="cellIs" dxfId="134" priority="192" operator="between">
      <formula>0.667</formula>
      <formula>1</formula>
    </cfRule>
  </conditionalFormatting>
  <conditionalFormatting sqref="H38:H39 L38:N39 S38:T39">
    <cfRule type="cellIs" dxfId="133" priority="246" operator="between">
      <formula>0.5</formula>
      <formula>0.67</formula>
    </cfRule>
    <cfRule type="cellIs" dxfId="132" priority="247" operator="between">
      <formula>0.67</formula>
      <formula>0.8</formula>
    </cfRule>
    <cfRule type="cellIs" dxfId="131" priority="251" operator="between">
      <formula>1.5</formula>
      <formula>2</formula>
    </cfRule>
    <cfRule type="cellIs" dxfId="130" priority="248" operator="between">
      <formula>0.8</formula>
      <formula>0.9</formula>
    </cfRule>
    <cfRule type="cellIs" dxfId="129" priority="250" operator="greaterThanOrEqual">
      <formula>2</formula>
    </cfRule>
    <cfRule type="cellIs" dxfId="128" priority="249" operator="between">
      <formula>0.9</formula>
      <formula>1.1</formula>
    </cfRule>
    <cfRule type="cellIs" dxfId="127" priority="252" operator="between">
      <formula>1.25</formula>
      <formula>1.5</formula>
    </cfRule>
    <cfRule type="cellIs" dxfId="126" priority="253" operator="between">
      <formula>1.1</formula>
      <formula>1.25</formula>
    </cfRule>
    <cfRule type="cellIs" dxfId="125" priority="245" operator="lessThanOrEqual">
      <formula>0.5</formula>
    </cfRule>
  </conditionalFormatting>
  <conditionalFormatting sqref="H42 L42:N42 S42">
    <cfRule type="cellIs" dxfId="124" priority="297" operator="between">
      <formula>1.25</formula>
      <formula>1.5</formula>
    </cfRule>
    <cfRule type="cellIs" dxfId="123" priority="298" operator="between">
      <formula>1.0001</formula>
      <formula>1.25</formula>
    </cfRule>
    <cfRule type="cellIs" dxfId="122" priority="293" operator="between">
      <formula>0.8</formula>
      <formula>0.999</formula>
    </cfRule>
    <cfRule type="cellIs" dxfId="121" priority="296" operator="between">
      <formula>1.5</formula>
      <formula>2</formula>
    </cfRule>
    <cfRule type="cellIs" dxfId="120" priority="294" operator="equal">
      <formula>1</formula>
    </cfRule>
  </conditionalFormatting>
  <conditionalFormatting sqref="H42:H43 H45:H46 L45:N46 S45:T46">
    <cfRule type="cellIs" dxfId="119" priority="165" operator="between">
      <formula>0.67</formula>
      <formula>0.8</formula>
    </cfRule>
    <cfRule type="cellIs" dxfId="118" priority="164" operator="lessThan">
      <formula>0.67</formula>
    </cfRule>
  </conditionalFormatting>
  <conditionalFormatting sqref="H43 H46 L46:N46 S46:T46">
    <cfRule type="cellIs" dxfId="117" priority="166" operator="between">
      <formula>0.8</formula>
      <formula>0.9</formula>
    </cfRule>
    <cfRule type="cellIs" dxfId="116" priority="167" operator="between">
      <formula>0.9</formula>
      <formula>1.1</formula>
    </cfRule>
    <cfRule type="cellIs" dxfId="115" priority="171" operator="between">
      <formula>1.1</formula>
      <formula>1.25</formula>
    </cfRule>
    <cfRule type="cellIs" dxfId="114" priority="170" operator="between">
      <formula>1.25</formula>
      <formula>1.5</formula>
    </cfRule>
  </conditionalFormatting>
  <conditionalFormatting sqref="H43">
    <cfRule type="cellIs" dxfId="113" priority="169" operator="greaterThan">
      <formula>1.5</formula>
    </cfRule>
  </conditionalFormatting>
  <conditionalFormatting sqref="H45 L45:N46 S45:T46">
    <cfRule type="cellIs" dxfId="112" priority="289" operator="between">
      <formula>1.0001</formula>
      <formula>1.25</formula>
    </cfRule>
    <cfRule type="cellIs" dxfId="111" priority="285" operator="equal">
      <formula>1</formula>
    </cfRule>
    <cfRule type="cellIs" dxfId="110" priority="288" operator="between">
      <formula>1.25</formula>
      <formula>1.5</formula>
    </cfRule>
  </conditionalFormatting>
  <conditionalFormatting sqref="H45:H46">
    <cfRule type="cellIs" dxfId="109" priority="58" operator="greaterThan">
      <formula>1.5</formula>
    </cfRule>
  </conditionalFormatting>
  <conditionalFormatting sqref="H49 L49:N49 S49:T49">
    <cfRule type="cellIs" dxfId="108" priority="45" operator="lessThan">
      <formula>0.67</formula>
    </cfRule>
    <cfRule type="cellIs" dxfId="107" priority="50" operator="between">
      <formula>1.25</formula>
      <formula>1.5</formula>
    </cfRule>
    <cfRule type="cellIs" dxfId="106" priority="51" operator="between">
      <formula>1.1</formula>
      <formula>1.25</formula>
    </cfRule>
    <cfRule type="cellIs" dxfId="105" priority="47" operator="between">
      <formula>0.8</formula>
      <formula>0.9</formula>
    </cfRule>
    <cfRule type="cellIs" dxfId="104" priority="46" operator="between">
      <formula>0.67</formula>
      <formula>0.8</formula>
    </cfRule>
    <cfRule type="cellIs" dxfId="103" priority="48" operator="between">
      <formula>0.9</formula>
      <formula>1.1</formula>
    </cfRule>
  </conditionalFormatting>
  <conditionalFormatting sqref="H49">
    <cfRule type="cellIs" dxfId="102" priority="44" operator="greaterThan">
      <formula>1.5</formula>
    </cfRule>
  </conditionalFormatting>
  <conditionalFormatting sqref="H52 L53:N53 S53:T53">
    <cfRule type="cellIs" dxfId="101" priority="41" operator="between">
      <formula>1.0001</formula>
      <formula>1.25</formula>
    </cfRule>
    <cfRule type="cellIs" dxfId="100" priority="40" operator="between">
      <formula>1.25</formula>
      <formula>1.5</formula>
    </cfRule>
    <cfRule type="cellIs" dxfId="99" priority="39" operator="equal">
      <formula>1</formula>
    </cfRule>
  </conditionalFormatting>
  <conditionalFormatting sqref="H52:H53 L53:N53 S53:T53">
    <cfRule type="cellIs" dxfId="98" priority="32" operator="between">
      <formula>0.67</formula>
      <formula>0.8</formula>
    </cfRule>
    <cfRule type="cellIs" dxfId="97" priority="31" operator="lessThan">
      <formula>0.67</formula>
    </cfRule>
  </conditionalFormatting>
  <conditionalFormatting sqref="H52:H53">
    <cfRule type="cellIs" dxfId="96" priority="30" operator="greaterThan">
      <formula>1.5</formula>
    </cfRule>
  </conditionalFormatting>
  <conditionalFormatting sqref="H53 L53:N53 S53:T53">
    <cfRule type="cellIs" dxfId="95" priority="37" operator="between">
      <formula>1.1</formula>
      <formula>1.25</formula>
    </cfRule>
    <cfRule type="cellIs" dxfId="94" priority="36" operator="between">
      <formula>1.25</formula>
      <formula>1.5</formula>
    </cfRule>
    <cfRule type="cellIs" dxfId="93" priority="33" operator="between">
      <formula>0.8</formula>
      <formula>0.9</formula>
    </cfRule>
    <cfRule type="cellIs" dxfId="92" priority="34" operator="between">
      <formula>0.9</formula>
      <formula>1.1</formula>
    </cfRule>
  </conditionalFormatting>
  <conditionalFormatting sqref="H55 L55:N56 S55:T56">
    <cfRule type="cellIs" dxfId="91" priority="25" operator="equal">
      <formula>1</formula>
    </cfRule>
    <cfRule type="cellIs" dxfId="90" priority="26" operator="between">
      <formula>1.25</formula>
      <formula>1.5</formula>
    </cfRule>
    <cfRule type="cellIs" dxfId="89" priority="27" operator="between">
      <formula>1.0001</formula>
      <formula>1.25</formula>
    </cfRule>
  </conditionalFormatting>
  <conditionalFormatting sqref="H55:H56 L55:N56 S55:T56">
    <cfRule type="cellIs" dxfId="88" priority="17" operator="lessThan">
      <formula>0.67</formula>
    </cfRule>
    <cfRule type="cellIs" dxfId="87" priority="18" operator="between">
      <formula>0.67</formula>
      <formula>0.8</formula>
    </cfRule>
  </conditionalFormatting>
  <conditionalFormatting sqref="H55:H56">
    <cfRule type="cellIs" dxfId="86" priority="16" operator="greaterThan">
      <formula>1.5</formula>
    </cfRule>
  </conditionalFormatting>
  <conditionalFormatting sqref="H56 L56:N56 S56:T56">
    <cfRule type="cellIs" dxfId="85" priority="22" operator="between">
      <formula>1.25</formula>
      <formula>1.5</formula>
    </cfRule>
    <cfRule type="cellIs" dxfId="84" priority="23" operator="between">
      <formula>1.1</formula>
      <formula>1.25</formula>
    </cfRule>
    <cfRule type="cellIs" dxfId="83" priority="19" operator="between">
      <formula>0.8</formula>
      <formula>0.9</formula>
    </cfRule>
    <cfRule type="cellIs" dxfId="82" priority="20" operator="between">
      <formula>0.9</formula>
      <formula>1.1</formula>
    </cfRule>
  </conditionalFormatting>
  <conditionalFormatting sqref="H58 L58:N58 S58:T58">
    <cfRule type="cellIs" dxfId="81" priority="4" operator="lessThan">
      <formula>0.67</formula>
    </cfRule>
    <cfRule type="cellIs" dxfId="80" priority="5" operator="between">
      <formula>0.67</formula>
      <formula>0.8</formula>
    </cfRule>
    <cfRule type="cellIs" dxfId="79" priority="10" operator="between">
      <formula>0.8</formula>
      <formula>0.999</formula>
    </cfRule>
    <cfRule type="cellIs" dxfId="78" priority="11" operator="equal">
      <formula>1</formula>
    </cfRule>
    <cfRule type="cellIs" dxfId="77" priority="12" operator="between">
      <formula>1.25</formula>
      <formula>1.5</formula>
    </cfRule>
    <cfRule type="cellIs" dxfId="76" priority="13" operator="between">
      <formula>1.0001</formula>
      <formula>1.25</formula>
    </cfRule>
  </conditionalFormatting>
  <conditionalFormatting sqref="H58">
    <cfRule type="cellIs" dxfId="75" priority="3" operator="greaterThan">
      <formula>1.5</formula>
    </cfRule>
  </conditionalFormatting>
  <conditionalFormatting sqref="L16:N17 L22:N23">
    <cfRule type="cellIs" dxfId="74" priority="515" operator="between">
      <formula>0.667</formula>
      <formula>1</formula>
    </cfRule>
    <cfRule type="cellIs" dxfId="73" priority="514" operator="between">
      <formula>0</formula>
      <formula>0.67</formula>
    </cfRule>
    <cfRule type="cellIs" dxfId="72" priority="516" operator="between">
      <formula>1</formula>
      <formula>1.5</formula>
    </cfRule>
    <cfRule type="cellIs" dxfId="71" priority="517" operator="greaterThanOrEqual">
      <formula>2</formula>
    </cfRule>
    <cfRule type="cellIs" dxfId="70" priority="518" operator="between">
      <formula>1.5</formula>
      <formula>2</formula>
    </cfRule>
  </conditionalFormatting>
  <conditionalFormatting sqref="L26:N27">
    <cfRule type="cellIs" dxfId="69" priority="220" operator="between">
      <formula>1.5</formula>
      <formula>2</formula>
    </cfRule>
    <cfRule type="cellIs" dxfId="68" priority="216" operator="between">
      <formula>0</formula>
      <formula>0.67</formula>
    </cfRule>
    <cfRule type="cellIs" dxfId="67" priority="217" operator="between">
      <formula>0.667</formula>
      <formula>1</formula>
    </cfRule>
    <cfRule type="cellIs" dxfId="66" priority="218" operator="between">
      <formula>1</formula>
      <formula>1.5</formula>
    </cfRule>
    <cfRule type="cellIs" dxfId="65" priority="219" operator="greaterThanOrEqual">
      <formula>2</formula>
    </cfRule>
  </conditionalFormatting>
  <conditionalFormatting sqref="L30:N31">
    <cfRule type="cellIs" dxfId="64" priority="201" operator="between">
      <formula>0</formula>
      <formula>0.67</formula>
    </cfRule>
    <cfRule type="cellIs" dxfId="63" priority="204" operator="greaterThanOrEqual">
      <formula>2</formula>
    </cfRule>
    <cfRule type="cellIs" dxfId="62" priority="205" operator="between">
      <formula>1.5</formula>
      <formula>2</formula>
    </cfRule>
    <cfRule type="cellIs" dxfId="61" priority="202" operator="between">
      <formula>0.667</formula>
      <formula>1</formula>
    </cfRule>
    <cfRule type="cellIs" dxfId="60" priority="203" operator="between">
      <formula>1</formula>
      <formula>1.5</formula>
    </cfRule>
  </conditionalFormatting>
  <conditionalFormatting sqref="L34:N35">
    <cfRule type="cellIs" dxfId="59" priority="186" operator="between">
      <formula>0</formula>
      <formula>0.67</formula>
    </cfRule>
    <cfRule type="cellIs" dxfId="58" priority="187" operator="between">
      <formula>0.667</formula>
      <formula>1</formula>
    </cfRule>
    <cfRule type="cellIs" dxfId="57" priority="188" operator="between">
      <formula>1</formula>
      <formula>1.5</formula>
    </cfRule>
    <cfRule type="cellIs" dxfId="56" priority="189" operator="greaterThanOrEqual">
      <formula>2</formula>
    </cfRule>
    <cfRule type="cellIs" dxfId="55" priority="190" operator="between">
      <formula>1.5</formula>
      <formula>2</formula>
    </cfRule>
  </conditionalFormatting>
  <conditionalFormatting sqref="L42:N43">
    <cfRule type="cellIs" dxfId="54" priority="155" operator="between">
      <formula>0.5</formula>
      <formula>0.67</formula>
    </cfRule>
    <cfRule type="cellIs" dxfId="53" priority="154" operator="lessThanOrEqual">
      <formula>0.5</formula>
    </cfRule>
    <cfRule type="cellIs" dxfId="52" priority="156" operator="between">
      <formula>0.67</formula>
      <formula>0.8</formula>
    </cfRule>
    <cfRule type="cellIs" dxfId="51" priority="159" operator="greaterThanOrEqual">
      <formula>2</formula>
    </cfRule>
  </conditionalFormatting>
  <conditionalFormatting sqref="L43:N43">
    <cfRule type="cellIs" dxfId="50" priority="162" operator="between">
      <formula>1.1</formula>
      <formula>1.25</formula>
    </cfRule>
    <cfRule type="cellIs" dxfId="49" priority="158" operator="between">
      <formula>0.9</formula>
      <formula>1.1</formula>
    </cfRule>
    <cfRule type="cellIs" dxfId="48" priority="161" operator="between">
      <formula>1.25</formula>
      <formula>1.5</formula>
    </cfRule>
    <cfRule type="cellIs" dxfId="47" priority="160" operator="between">
      <formula>1.5</formula>
      <formula>2</formula>
    </cfRule>
    <cfRule type="cellIs" dxfId="46" priority="157" operator="between">
      <formula>0.8</formula>
      <formula>0.9</formula>
    </cfRule>
  </conditionalFormatting>
  <conditionalFormatting sqref="L45:N46 S45:T46 H45">
    <cfRule type="cellIs" dxfId="45" priority="284" operator="between">
      <formula>0.8</formula>
      <formula>0.999</formula>
    </cfRule>
  </conditionalFormatting>
  <conditionalFormatting sqref="L45:N46">
    <cfRule type="cellIs" dxfId="44" priority="57" operator="greaterThan">
      <formula>1.5</formula>
    </cfRule>
  </conditionalFormatting>
  <conditionalFormatting sqref="L49:N49 S49:T49">
    <cfRule type="cellIs" dxfId="43" priority="53" operator="equal">
      <formula>1</formula>
    </cfRule>
    <cfRule type="cellIs" dxfId="42" priority="55" operator="between">
      <formula>1.0001</formula>
      <formula>1.25</formula>
    </cfRule>
    <cfRule type="cellIs" dxfId="41" priority="54" operator="between">
      <formula>1.25</formula>
      <formula>1.5</formula>
    </cfRule>
    <cfRule type="cellIs" dxfId="40" priority="52" operator="between">
      <formula>0.8</formula>
      <formula>0.999</formula>
    </cfRule>
  </conditionalFormatting>
  <conditionalFormatting sqref="L49:N49">
    <cfRule type="cellIs" dxfId="39" priority="43" operator="greaterThan">
      <formula>1.5</formula>
    </cfRule>
  </conditionalFormatting>
  <conditionalFormatting sqref="L53:N53 S53:T53 H52">
    <cfRule type="cellIs" dxfId="38" priority="38" operator="between">
      <formula>0.8</formula>
      <formula>0.999</formula>
    </cfRule>
  </conditionalFormatting>
  <conditionalFormatting sqref="L53:N53">
    <cfRule type="cellIs" dxfId="37" priority="29" operator="greaterThan">
      <formula>1.5</formula>
    </cfRule>
  </conditionalFormatting>
  <conditionalFormatting sqref="L55:N56 S55:T56 H55">
    <cfRule type="cellIs" dxfId="36" priority="24" operator="between">
      <formula>0.8</formula>
      <formula>0.999</formula>
    </cfRule>
  </conditionalFormatting>
  <conditionalFormatting sqref="L55:N56">
    <cfRule type="cellIs" dxfId="35" priority="15" operator="greaterThan">
      <formula>1.5</formula>
    </cfRule>
  </conditionalFormatting>
  <conditionalFormatting sqref="L58:N58">
    <cfRule type="cellIs" dxfId="34" priority="2" operator="greaterThan">
      <formula>1.5</formula>
    </cfRule>
  </conditionalFormatting>
  <conditionalFormatting sqref="S42:S43">
    <cfRule type="cellIs" dxfId="33" priority="147" operator="between">
      <formula>0.67</formula>
      <formula>0.8</formula>
    </cfRule>
    <cfRule type="cellIs" dxfId="32" priority="150" operator="greaterThanOrEqual">
      <formula>2</formula>
    </cfRule>
    <cfRule type="cellIs" dxfId="31" priority="146" operator="between">
      <formula>0.5</formula>
      <formula>0.67</formula>
    </cfRule>
    <cfRule type="cellIs" dxfId="30" priority="145" operator="lessThanOrEqual">
      <formula>0.5</formula>
    </cfRule>
  </conditionalFormatting>
  <conditionalFormatting sqref="S43">
    <cfRule type="cellIs" dxfId="29" priority="153" operator="between">
      <formula>1.1</formula>
      <formula>1.25</formula>
    </cfRule>
    <cfRule type="cellIs" dxfId="28" priority="151" operator="between">
      <formula>1.5</formula>
      <formula>2</formula>
    </cfRule>
    <cfRule type="cellIs" dxfId="27" priority="152" operator="between">
      <formula>1.25</formula>
      <formula>1.5</formula>
    </cfRule>
    <cfRule type="cellIs" dxfId="26" priority="149" operator="between">
      <formula>0.9</formula>
      <formula>1.1</formula>
    </cfRule>
    <cfRule type="cellIs" dxfId="25" priority="148" operator="between">
      <formula>0.8</formula>
      <formula>0.9</formula>
    </cfRule>
  </conditionalFormatting>
  <conditionalFormatting sqref="S16:T17 S22:T23">
    <cfRule type="cellIs" dxfId="24" priority="504" operator="between">
      <formula>0</formula>
      <formula>0.67</formula>
    </cfRule>
    <cfRule type="cellIs" dxfId="23" priority="505" operator="between">
      <formula>0.667</formula>
      <formula>1</formula>
    </cfRule>
    <cfRule type="cellIs" dxfId="22" priority="506" operator="between">
      <formula>1</formula>
      <formula>1.5</formula>
    </cfRule>
    <cfRule type="cellIs" dxfId="21" priority="507" operator="greaterThanOrEqual">
      <formula>2</formula>
    </cfRule>
    <cfRule type="cellIs" dxfId="20" priority="508" operator="between">
      <formula>1.5</formula>
      <formula>2</formula>
    </cfRule>
  </conditionalFormatting>
  <conditionalFormatting sqref="S26:T27">
    <cfRule type="cellIs" dxfId="19" priority="211" operator="between">
      <formula>0</formula>
      <formula>0.67</formula>
    </cfRule>
    <cfRule type="cellIs" dxfId="18" priority="215" operator="between">
      <formula>1.5</formula>
      <formula>2</formula>
    </cfRule>
    <cfRule type="cellIs" dxfId="17" priority="213" operator="between">
      <formula>1</formula>
      <formula>1.5</formula>
    </cfRule>
    <cfRule type="cellIs" dxfId="16" priority="212" operator="between">
      <formula>0.667</formula>
      <formula>1</formula>
    </cfRule>
    <cfRule type="cellIs" dxfId="15" priority="214" operator="greaterThanOrEqual">
      <formula>2</formula>
    </cfRule>
  </conditionalFormatting>
  <conditionalFormatting sqref="S30:T31">
    <cfRule type="cellIs" dxfId="14" priority="200" operator="between">
      <formula>1.5</formula>
      <formula>2</formula>
    </cfRule>
    <cfRule type="cellIs" dxfId="13" priority="199" operator="greaterThanOrEqual">
      <formula>2</formula>
    </cfRule>
    <cfRule type="cellIs" dxfId="12" priority="198" operator="between">
      <formula>1</formula>
      <formula>1.5</formula>
    </cfRule>
    <cfRule type="cellIs" dxfId="11" priority="197" operator="between">
      <formula>0.667</formula>
      <formula>1</formula>
    </cfRule>
    <cfRule type="cellIs" dxfId="10" priority="196" operator="between">
      <formula>0</formula>
      <formula>0.67</formula>
    </cfRule>
  </conditionalFormatting>
  <conditionalFormatting sqref="S34:T35">
    <cfRule type="cellIs" dxfId="9" priority="182" operator="between">
      <formula>0.667</formula>
      <formula>1</formula>
    </cfRule>
    <cfRule type="cellIs" dxfId="8" priority="181" operator="between">
      <formula>0</formula>
      <formula>0.67</formula>
    </cfRule>
    <cfRule type="cellIs" dxfId="7" priority="185" operator="between">
      <formula>1.5</formula>
      <formula>2</formula>
    </cfRule>
    <cfRule type="cellIs" dxfId="6" priority="184" operator="greaterThanOrEqual">
      <formula>2</formula>
    </cfRule>
    <cfRule type="cellIs" dxfId="5" priority="183" operator="between">
      <formula>1</formula>
      <formula>1.5</formula>
    </cfRule>
  </conditionalFormatting>
  <conditionalFormatting sqref="S45:T46">
    <cfRule type="cellIs" dxfId="4" priority="56" operator="greaterThan">
      <formula>1.5</formula>
    </cfRule>
  </conditionalFormatting>
  <conditionalFormatting sqref="S49:T49">
    <cfRule type="cellIs" dxfId="3" priority="42" operator="greaterThan">
      <formula>1.5</formula>
    </cfRule>
  </conditionalFormatting>
  <conditionalFormatting sqref="S53:T53">
    <cfRule type="cellIs" dxfId="2" priority="28" operator="greaterThan">
      <formula>1.5</formula>
    </cfRule>
  </conditionalFormatting>
  <conditionalFormatting sqref="S55:T56">
    <cfRule type="cellIs" dxfId="1" priority="14" operator="greaterThan">
      <formula>1.5</formula>
    </cfRule>
  </conditionalFormatting>
  <conditionalFormatting sqref="S58:T58">
    <cfRule type="cellIs" dxfId="0" priority="1" operator="greaterThan">
      <formula>1.5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CE57-FF6E-40F9-8718-A7E8B64225DB}">
  <sheetPr>
    <tabColor theme="3"/>
  </sheetPr>
  <dimension ref="A1:P82"/>
  <sheetViews>
    <sheetView zoomScale="75" zoomScaleNormal="75" workbookViewId="0">
      <selection activeCell="W17" sqref="W17"/>
    </sheetView>
  </sheetViews>
  <sheetFormatPr defaultRowHeight="15"/>
  <cols>
    <col min="1" max="1" width="21" customWidth="1"/>
    <col min="2" max="2" width="25" customWidth="1"/>
    <col min="3" max="4" width="11.7109375" customWidth="1"/>
    <col min="23" max="23" width="90.7109375" customWidth="1"/>
  </cols>
  <sheetData>
    <row r="1" spans="1:16">
      <c r="B1" s="34"/>
      <c r="C1" s="34"/>
      <c r="D1" s="34"/>
      <c r="E1" s="35"/>
      <c r="F1" s="35"/>
      <c r="G1" s="35"/>
      <c r="H1" s="35"/>
      <c r="I1" s="35"/>
      <c r="J1" s="35"/>
      <c r="K1" s="35"/>
      <c r="L1" s="35"/>
      <c r="M1" s="35"/>
      <c r="N1" s="35"/>
    </row>
    <row r="2" spans="1:16" s="236" customFormat="1">
      <c r="A2" s="235" t="s">
        <v>81</v>
      </c>
    </row>
    <row r="4" spans="1:16" ht="67.150000000000006">
      <c r="C4" s="23" t="s">
        <v>82</v>
      </c>
      <c r="D4" s="23" t="s">
        <v>83</v>
      </c>
      <c r="E4" s="23" t="s">
        <v>84</v>
      </c>
      <c r="F4" s="23" t="s">
        <v>85</v>
      </c>
      <c r="G4" s="23" t="s">
        <v>86</v>
      </c>
      <c r="I4" s="23" t="s">
        <v>87</v>
      </c>
      <c r="J4" s="23" t="s">
        <v>88</v>
      </c>
      <c r="K4" s="29" t="s">
        <v>89</v>
      </c>
      <c r="L4" s="23" t="s">
        <v>90</v>
      </c>
      <c r="M4" s="29" t="s">
        <v>91</v>
      </c>
      <c r="N4" s="23" t="s">
        <v>92</v>
      </c>
      <c r="O4" s="29" t="s">
        <v>93</v>
      </c>
      <c r="P4" s="23" t="s">
        <v>94</v>
      </c>
    </row>
    <row r="5" spans="1:16" ht="16.899999999999999">
      <c r="A5" s="526" t="s">
        <v>32</v>
      </c>
      <c r="B5" s="24">
        <v>2030</v>
      </c>
      <c r="C5" s="237">
        <v>24</v>
      </c>
      <c r="D5" s="237">
        <v>6</v>
      </c>
      <c r="E5" s="237">
        <v>171</v>
      </c>
      <c r="F5" s="237">
        <v>38</v>
      </c>
      <c r="G5" s="237">
        <v>11</v>
      </c>
      <c r="I5" s="229" t="s">
        <v>32</v>
      </c>
      <c r="J5" s="24">
        <v>2030</v>
      </c>
      <c r="K5" s="238">
        <v>0.11593038364249689</v>
      </c>
      <c r="L5" s="239">
        <v>0.67110815766948462</v>
      </c>
      <c r="M5" s="240">
        <v>19.824095602866969</v>
      </c>
      <c r="N5" s="240">
        <v>7.3821897343643306</v>
      </c>
      <c r="O5" s="240">
        <v>151.17590439713302</v>
      </c>
      <c r="P5" s="240">
        <v>3.6178102656356694</v>
      </c>
    </row>
    <row r="6" spans="1:16" ht="16.899999999999999">
      <c r="A6" s="527"/>
      <c r="B6" s="24">
        <v>2040</v>
      </c>
      <c r="C6" s="237">
        <v>8</v>
      </c>
      <c r="D6" s="237">
        <v>2</v>
      </c>
      <c r="E6" s="237">
        <v>138</v>
      </c>
      <c r="F6" s="237">
        <v>24</v>
      </c>
      <c r="G6" s="237">
        <v>46</v>
      </c>
      <c r="I6" s="230"/>
      <c r="J6" s="24">
        <v>2040</v>
      </c>
      <c r="K6" s="238">
        <v>0.35912748509495934</v>
      </c>
      <c r="L6" s="239">
        <v>0.83850973169584209</v>
      </c>
      <c r="M6" s="240">
        <v>49.559592943104391</v>
      </c>
      <c r="N6" s="240">
        <v>38.571447658008736</v>
      </c>
      <c r="O6" s="240">
        <v>88.440407056895609</v>
      </c>
      <c r="P6" s="240">
        <v>7.4285523419912636</v>
      </c>
    </row>
    <row r="7" spans="1:16" ht="16.5" customHeight="1">
      <c r="A7" s="526" t="s">
        <v>35</v>
      </c>
      <c r="B7" s="24">
        <v>2040</v>
      </c>
      <c r="C7" s="27">
        <v>8</v>
      </c>
      <c r="D7" s="27">
        <v>1</v>
      </c>
      <c r="E7" s="27">
        <v>134</v>
      </c>
      <c r="F7" s="27">
        <v>24</v>
      </c>
      <c r="G7" s="27">
        <v>46</v>
      </c>
      <c r="I7" s="229" t="s">
        <v>35</v>
      </c>
      <c r="J7" s="24">
        <v>2040</v>
      </c>
      <c r="K7" s="238">
        <v>0.3717721608852142</v>
      </c>
      <c r="L7" s="239">
        <v>0.85966687750830761</v>
      </c>
      <c r="M7" s="240">
        <v>49.817469558618704</v>
      </c>
      <c r="N7" s="240">
        <v>39.544676365382152</v>
      </c>
      <c r="O7" s="240">
        <v>84.182530441381289</v>
      </c>
      <c r="P7" s="240">
        <v>6.455323634617848</v>
      </c>
    </row>
    <row r="8" spans="1:16" ht="16.5" customHeight="1">
      <c r="A8" s="527"/>
      <c r="B8" s="24">
        <v>2050</v>
      </c>
      <c r="C8" s="27">
        <v>4</v>
      </c>
      <c r="D8" s="27">
        <v>1</v>
      </c>
      <c r="E8" s="27">
        <v>106</v>
      </c>
      <c r="F8" s="27">
        <v>18</v>
      </c>
      <c r="G8" s="27">
        <v>67</v>
      </c>
      <c r="I8" s="230"/>
      <c r="J8" s="24">
        <v>2050</v>
      </c>
      <c r="K8" s="238">
        <v>0.99950535990579303</v>
      </c>
      <c r="L8" s="239">
        <v>0.9529238006199704</v>
      </c>
      <c r="M8" s="240">
        <v>105.94756815001406</v>
      </c>
      <c r="N8" s="240">
        <v>63.845894641538017</v>
      </c>
      <c r="O8" s="240">
        <v>0</v>
      </c>
      <c r="P8" s="240">
        <v>3.1541053584619831</v>
      </c>
    </row>
    <row r="9" spans="1:16" ht="16.5" customHeight="1">
      <c r="A9" s="526" t="s">
        <v>36</v>
      </c>
      <c r="B9" s="24">
        <v>2040</v>
      </c>
      <c r="C9" s="27">
        <v>8</v>
      </c>
      <c r="D9" s="27">
        <v>1</v>
      </c>
      <c r="E9" s="27">
        <v>134</v>
      </c>
      <c r="F9" s="27">
        <v>24</v>
      </c>
      <c r="G9" s="27">
        <v>46</v>
      </c>
      <c r="I9" s="229" t="s">
        <v>36</v>
      </c>
      <c r="J9" s="24">
        <v>2040</v>
      </c>
      <c r="K9" s="238">
        <v>0.39803031896690616</v>
      </c>
      <c r="L9" s="239">
        <v>0.86233386634073694</v>
      </c>
      <c r="M9" s="240">
        <v>53.336062741565428</v>
      </c>
      <c r="N9" s="240">
        <v>39.667357851673898</v>
      </c>
      <c r="O9" s="240">
        <v>80.663937258434572</v>
      </c>
      <c r="P9" s="240">
        <v>6.3326421483261015</v>
      </c>
    </row>
    <row r="10" spans="1:16" ht="16.5" customHeight="1">
      <c r="A10" s="527"/>
      <c r="B10" s="24">
        <v>2050</v>
      </c>
      <c r="C10" s="27">
        <v>4</v>
      </c>
      <c r="D10" s="27">
        <v>1</v>
      </c>
      <c r="E10" s="27">
        <v>106</v>
      </c>
      <c r="F10" s="27">
        <v>18</v>
      </c>
      <c r="G10" s="27">
        <v>67</v>
      </c>
      <c r="I10" s="230"/>
      <c r="J10" s="24">
        <v>2050</v>
      </c>
      <c r="K10" s="238">
        <v>1.0001217460618939</v>
      </c>
      <c r="L10" s="239">
        <v>0.93599657231089517</v>
      </c>
      <c r="M10" s="240">
        <v>106.01290508256075</v>
      </c>
      <c r="N10" s="240">
        <v>62.711770344829979</v>
      </c>
      <c r="O10" s="240">
        <v>0</v>
      </c>
      <c r="P10" s="240">
        <v>4.2882296551700207</v>
      </c>
    </row>
    <row r="14" spans="1:16" ht="90">
      <c r="C14" s="23" t="s">
        <v>95</v>
      </c>
      <c r="D14" s="23"/>
      <c r="E14" s="228" t="s">
        <v>96</v>
      </c>
      <c r="F14" s="228" t="s">
        <v>97</v>
      </c>
      <c r="G14" s="23" t="s">
        <v>85</v>
      </c>
      <c r="H14" s="241" t="s">
        <v>98</v>
      </c>
    </row>
    <row r="15" spans="1:16">
      <c r="A15">
        <v>2030</v>
      </c>
      <c r="B15" t="s">
        <v>99</v>
      </c>
      <c r="C15" s="35" t="e">
        <f>#REF!+#REF!</f>
        <v>#REF!</v>
      </c>
      <c r="D15" s="35"/>
      <c r="E15" s="35">
        <f>M5+N5</f>
        <v>27.2062853372313</v>
      </c>
      <c r="F15" s="35">
        <f>O5+P5</f>
        <v>154.79371466276871</v>
      </c>
      <c r="G15" s="35">
        <v>38</v>
      </c>
      <c r="L15" s="15" t="s">
        <v>100</v>
      </c>
    </row>
    <row r="16" spans="1:16">
      <c r="B16" t="s">
        <v>101</v>
      </c>
      <c r="C16" s="35"/>
      <c r="D16" s="35"/>
      <c r="E16" s="35"/>
      <c r="F16" s="35"/>
      <c r="G16" s="35"/>
      <c r="H16" s="141">
        <v>238.47820617530411</v>
      </c>
    </row>
    <row r="17" spans="1:8">
      <c r="A17">
        <v>2040</v>
      </c>
      <c r="B17" t="s">
        <v>99</v>
      </c>
      <c r="C17" s="35" t="e">
        <f>#REF!+#REF!</f>
        <v>#REF!</v>
      </c>
      <c r="D17" s="35"/>
      <c r="E17" s="35">
        <f>M6+N6</f>
        <v>88.131040601113128</v>
      </c>
      <c r="F17" s="35">
        <f>O6+P6</f>
        <v>95.868959398886872</v>
      </c>
      <c r="G17" s="35">
        <v>24</v>
      </c>
    </row>
    <row r="18" spans="1:8">
      <c r="B18" t="s">
        <v>102</v>
      </c>
      <c r="C18" s="35" t="e">
        <f>#REF!+#REF!</f>
        <v>#REF!</v>
      </c>
      <c r="D18" s="35"/>
      <c r="E18" s="35">
        <f>M7+N7</f>
        <v>89.362145924000856</v>
      </c>
      <c r="F18" s="35">
        <f>O7+P7</f>
        <v>90.637854075999144</v>
      </c>
      <c r="G18" s="35">
        <v>24</v>
      </c>
    </row>
    <row r="19" spans="1:8">
      <c r="B19" t="s">
        <v>103</v>
      </c>
      <c r="C19" s="35" t="e">
        <f>#REF!+#REF!</f>
        <v>#REF!</v>
      </c>
      <c r="D19" s="35"/>
      <c r="E19" s="35">
        <f>M9+N9</f>
        <v>93.003420593239326</v>
      </c>
      <c r="F19" s="35">
        <f>O9+P9</f>
        <v>86.996579406760674</v>
      </c>
      <c r="G19" s="35">
        <v>24</v>
      </c>
    </row>
    <row r="20" spans="1:8">
      <c r="B20" t="s">
        <v>101</v>
      </c>
      <c r="C20" s="35"/>
      <c r="D20" s="35"/>
      <c r="E20" s="35"/>
      <c r="F20" s="35"/>
      <c r="G20" s="35"/>
      <c r="H20" s="141">
        <v>156.41479784205791</v>
      </c>
    </row>
    <row r="21" spans="1:8">
      <c r="A21">
        <v>2050</v>
      </c>
      <c r="B21" t="s">
        <v>102</v>
      </c>
      <c r="C21" s="35" t="e">
        <f>#REF!+#REF!</f>
        <v>#REF!</v>
      </c>
      <c r="D21" s="35"/>
      <c r="E21" s="35">
        <f>M8+N8</f>
        <v>169.79346279155209</v>
      </c>
      <c r="F21" s="35">
        <f>O8+P8</f>
        <v>3.1541053584619831</v>
      </c>
      <c r="G21" s="35">
        <v>18</v>
      </c>
    </row>
    <row r="22" spans="1:8">
      <c r="B22" t="s">
        <v>103</v>
      </c>
      <c r="C22" s="35" t="e">
        <f>#REF!+#REF!</f>
        <v>#REF!</v>
      </c>
      <c r="D22" s="35"/>
      <c r="E22" s="35">
        <f>M10+N10</f>
        <v>168.72467542739074</v>
      </c>
      <c r="F22" s="35">
        <f>O10+P10</f>
        <v>4.2882296551700207</v>
      </c>
      <c r="G22" s="35">
        <v>18</v>
      </c>
    </row>
    <row r="23" spans="1:8">
      <c r="B23" t="s">
        <v>101</v>
      </c>
      <c r="H23" s="141">
        <v>141.9440526330313</v>
      </c>
    </row>
    <row r="37" spans="1:7" s="236" customFormat="1">
      <c r="A37" s="235" t="s">
        <v>104</v>
      </c>
    </row>
    <row r="39" spans="1:7" ht="45">
      <c r="C39" s="184" t="s">
        <v>105</v>
      </c>
      <c r="D39" s="184" t="s">
        <v>106</v>
      </c>
      <c r="E39" s="184" t="s">
        <v>107</v>
      </c>
      <c r="F39" s="134" t="s">
        <v>108</v>
      </c>
      <c r="G39" s="184" t="s">
        <v>109</v>
      </c>
    </row>
    <row r="40" spans="1:7">
      <c r="A40">
        <v>2030</v>
      </c>
      <c r="B40" t="s">
        <v>99</v>
      </c>
      <c r="C40" s="43">
        <f>'Main Benchmarking table'!H54</f>
        <v>192.85562859166669</v>
      </c>
      <c r="D40" s="163">
        <f>'H2 demand &amp; supply'!E65</f>
        <v>104.763792392</v>
      </c>
      <c r="E40" s="163">
        <f>'H2 demand &amp; supply'!E66</f>
        <v>9.1072976519999997</v>
      </c>
      <c r="F40" s="189">
        <f>'H2 demand &amp; supply'!E69</f>
        <v>167.20699999999999</v>
      </c>
      <c r="G40" s="189">
        <f>'H2 demand &amp; supply'!E45</f>
        <v>9.6510638782389719</v>
      </c>
    </row>
    <row r="41" spans="1:7">
      <c r="B41" t="s">
        <v>101</v>
      </c>
      <c r="C41" s="43">
        <f>'Main Benchmarking table'!K54</f>
        <v>104.67</v>
      </c>
      <c r="D41" s="163"/>
      <c r="E41" s="163"/>
      <c r="F41" s="189"/>
      <c r="G41" s="189"/>
    </row>
    <row r="42" spans="1:7">
      <c r="B42" t="s">
        <v>110</v>
      </c>
      <c r="C42" s="43">
        <f>'Main Benchmarking table'!J54</f>
        <v>120.30565180000001</v>
      </c>
      <c r="D42" s="163"/>
      <c r="E42" s="163"/>
      <c r="F42" s="189"/>
      <c r="G42" s="189">
        <f>'Main Benchmarking table'!J44-C42</f>
        <v>75.916727400000028</v>
      </c>
    </row>
    <row r="43" spans="1:7">
      <c r="A43">
        <v>2040</v>
      </c>
      <c r="B43" t="s">
        <v>111</v>
      </c>
      <c r="C43" s="43">
        <f>'Main Benchmarking table'!L54</f>
        <v>709.81421251388235</v>
      </c>
      <c r="D43" s="163">
        <f>'H2 demand &amp; supply'!F65</f>
        <v>69.44759640800001</v>
      </c>
      <c r="E43" s="163">
        <f>'H2 demand &amp; supply'!F66</f>
        <v>24.464786927000002</v>
      </c>
      <c r="F43" s="189">
        <f>'H2 demand &amp; supply'!F69</f>
        <v>710.46500000000003</v>
      </c>
      <c r="G43" s="189"/>
    </row>
    <row r="44" spans="1:7">
      <c r="B44" t="s">
        <v>102</v>
      </c>
      <c r="C44" s="43">
        <f>'Main Benchmarking table'!M54</f>
        <v>959.00331007524187</v>
      </c>
      <c r="D44" s="163">
        <f>'H2 demand &amp; supply'!G65</f>
        <v>84.89642478195519</v>
      </c>
      <c r="E44" s="163">
        <f>'H2 demand &amp; supply'!G66</f>
        <v>22.299415236945002</v>
      </c>
      <c r="F44" s="189">
        <f>'H2 demand &amp; supply'!G69</f>
        <v>657.92068183879007</v>
      </c>
      <c r="G44" s="189"/>
    </row>
    <row r="45" spans="1:7">
      <c r="B45" t="s">
        <v>103</v>
      </c>
      <c r="C45" s="43">
        <f>'Main Benchmarking table'!N54</f>
        <v>1163.0827031370343</v>
      </c>
      <c r="D45" s="163">
        <f>'H2 demand &amp; supply'!I65</f>
        <v>74.936289637708796</v>
      </c>
      <c r="E45" s="163">
        <f>'H2 demand &amp; supply'!I66</f>
        <v>14.535863122448001</v>
      </c>
      <c r="F45" s="189">
        <f>'H2 demand &amp; supply'!I69</f>
        <v>823.47990611580008</v>
      </c>
      <c r="G45" s="189"/>
    </row>
    <row r="46" spans="1:7">
      <c r="B46" t="s">
        <v>101</v>
      </c>
      <c r="C46" s="43">
        <f>'Main Benchmarking table'!Q54</f>
        <v>1163</v>
      </c>
      <c r="D46" s="163"/>
      <c r="E46" s="163"/>
      <c r="F46" s="189">
        <f>'H2 demand &amp; supply'!L124</f>
        <v>15.022867174032923</v>
      </c>
      <c r="G46" s="189"/>
    </row>
    <row r="47" spans="1:7">
      <c r="B47" t="s">
        <v>110</v>
      </c>
      <c r="C47" s="43">
        <f>'Main Benchmarking table'!P54</f>
        <v>425.6670072</v>
      </c>
      <c r="D47" s="163"/>
      <c r="E47" s="163"/>
      <c r="F47" s="189"/>
      <c r="G47" s="189">
        <f>'Main Benchmarking table'!P44-'Main Benchmarking table'!P54</f>
        <v>191.66681999999997</v>
      </c>
    </row>
    <row r="48" spans="1:7">
      <c r="A48">
        <v>2050</v>
      </c>
      <c r="B48" t="s">
        <v>102</v>
      </c>
      <c r="C48" s="43">
        <f>'Main Benchmarking table'!S54</f>
        <v>1795.4778873964967</v>
      </c>
      <c r="D48" s="163">
        <f>'H2 demand &amp; supply'!H65</f>
        <v>0</v>
      </c>
      <c r="E48" s="163"/>
      <c r="F48" s="189">
        <f>'H2 demand &amp; supply'!H69</f>
        <v>564.10321668732001</v>
      </c>
      <c r="G48" s="189"/>
    </row>
    <row r="49" spans="1:11">
      <c r="B49" t="s">
        <v>103</v>
      </c>
      <c r="C49" s="43">
        <f>'Main Benchmarking table'!T54</f>
        <v>2082.5118539387477</v>
      </c>
      <c r="D49" s="163">
        <f>'H2 demand &amp; supply'!J65</f>
        <v>4.6927470185433275</v>
      </c>
      <c r="E49" s="163"/>
      <c r="F49" s="189">
        <f>'H2 demand &amp; supply'!J69</f>
        <v>981.40211769680002</v>
      </c>
      <c r="G49" s="189"/>
    </row>
    <row r="50" spans="1:11">
      <c r="B50" t="s">
        <v>101</v>
      </c>
      <c r="C50" s="43">
        <f>'Main Benchmarking table'!W54</f>
        <v>2151.5500000000002</v>
      </c>
      <c r="D50" s="163"/>
      <c r="E50" s="163"/>
      <c r="F50" s="189">
        <f>'H2 demand &amp; supply'!L128</f>
        <v>41.52897592062596</v>
      </c>
      <c r="G50" s="189"/>
    </row>
    <row r="51" spans="1:11">
      <c r="B51" t="s">
        <v>110</v>
      </c>
      <c r="C51" s="43">
        <f>'Main Benchmarking table'!V54</f>
        <v>883.94515160000003</v>
      </c>
      <c r="D51" s="163"/>
      <c r="E51" s="163"/>
      <c r="F51" s="189"/>
      <c r="G51" s="189">
        <f>'Main Benchmarking table'!V44-'Main Benchmarking table'!V54</f>
        <v>381.02808259999995</v>
      </c>
    </row>
    <row r="53" spans="1:11" s="17" customFormat="1">
      <c r="A53" s="235" t="s">
        <v>37</v>
      </c>
    </row>
    <row r="54" spans="1:11" ht="45">
      <c r="C54" s="184" t="s">
        <v>112</v>
      </c>
      <c r="D54" s="184" t="s">
        <v>113</v>
      </c>
      <c r="E54" s="184" t="s">
        <v>114</v>
      </c>
      <c r="F54" s="184" t="s">
        <v>115</v>
      </c>
      <c r="H54" s="184" t="s">
        <v>113</v>
      </c>
      <c r="I54" s="184" t="s">
        <v>112</v>
      </c>
      <c r="J54" s="184" t="s">
        <v>115</v>
      </c>
      <c r="K54" s="184" t="s">
        <v>114</v>
      </c>
    </row>
    <row r="55" spans="1:11">
      <c r="A55">
        <v>2030</v>
      </c>
      <c r="B55" t="s">
        <v>99</v>
      </c>
      <c r="C55" s="242">
        <f>'Main Benchmarking table'!H13</f>
        <v>0.33472365614618277</v>
      </c>
      <c r="D55" s="242">
        <f>'Main Benchmarking table'!H12</f>
        <v>0.28680584914350837</v>
      </c>
      <c r="E55" s="242"/>
      <c r="F55" s="242"/>
      <c r="H55" s="18">
        <f>D55</f>
        <v>0.28680584914350837</v>
      </c>
      <c r="I55" s="18">
        <f>C55-D55</f>
        <v>4.7917807002674395E-2</v>
      </c>
      <c r="J55" s="242"/>
    </row>
    <row r="56" spans="1:11">
      <c r="B56" t="s">
        <v>116</v>
      </c>
      <c r="C56" s="242"/>
      <c r="D56" s="242"/>
      <c r="E56" s="242">
        <f>'Main Benchmarking table'!K13</f>
        <v>0.31459282965235441</v>
      </c>
      <c r="F56" s="242">
        <f>'Main Benchmarking table'!I12</f>
        <v>0.29435226385834001</v>
      </c>
      <c r="J56" s="242">
        <f>F56</f>
        <v>0.29435226385834001</v>
      </c>
      <c r="K56" s="18">
        <f>E56-F56</f>
        <v>2.0240565794014398E-2</v>
      </c>
    </row>
    <row r="57" spans="1:11">
      <c r="A57">
        <v>2040</v>
      </c>
      <c r="B57" t="s">
        <v>99</v>
      </c>
      <c r="C57" s="242">
        <f>'Main Benchmarking table'!L13</f>
        <v>0.41789915496765173</v>
      </c>
      <c r="D57" s="242">
        <f>'Main Benchmarking table'!L12</f>
        <v>0.35635964091198069</v>
      </c>
      <c r="E57" s="242"/>
      <c r="F57" s="242"/>
      <c r="H57" s="18">
        <f>D57</f>
        <v>0.35635964091198069</v>
      </c>
      <c r="I57" s="18">
        <f>C57-D57</f>
        <v>6.1539514055671041E-2</v>
      </c>
      <c r="J57" s="242"/>
    </row>
    <row r="58" spans="1:11">
      <c r="B58" t="s">
        <v>102</v>
      </c>
      <c r="C58" s="242">
        <f>'Main Benchmarking table'!M13</f>
        <v>0.46111717384840278</v>
      </c>
      <c r="D58" s="242">
        <f>'Main Benchmarking table'!M12</f>
        <v>0.40006763649811655</v>
      </c>
      <c r="E58" s="242"/>
      <c r="F58" s="242"/>
      <c r="H58" s="18">
        <f t="shared" ref="H58:H59" si="0">D58</f>
        <v>0.40006763649811655</v>
      </c>
      <c r="I58" s="18">
        <f t="shared" ref="I58:I59" si="1">C58-D58</f>
        <v>6.1049537350286232E-2</v>
      </c>
      <c r="J58" s="242"/>
    </row>
    <row r="59" spans="1:11">
      <c r="B59" t="s">
        <v>103</v>
      </c>
      <c r="C59" s="242">
        <f>'Main Benchmarking table'!N13</f>
        <v>0.37704731463258129</v>
      </c>
      <c r="D59" s="242">
        <f>'Main Benchmarking table'!N12</f>
        <v>0.3317018245414956</v>
      </c>
      <c r="E59" s="242"/>
      <c r="F59" s="242"/>
      <c r="H59" s="18">
        <f t="shared" si="0"/>
        <v>0.3317018245414956</v>
      </c>
      <c r="I59" s="18">
        <f t="shared" si="1"/>
        <v>4.5345490091085683E-2</v>
      </c>
      <c r="J59" s="242"/>
    </row>
    <row r="60" spans="1:11">
      <c r="B60" t="s">
        <v>116</v>
      </c>
      <c r="C60" s="242"/>
      <c r="D60" s="242"/>
      <c r="E60" s="242">
        <f>'Main Benchmarking table'!Q13</f>
        <v>0.47449740099444448</v>
      </c>
      <c r="F60" s="242">
        <f>'Main Benchmarking table'!O12</f>
        <v>0.49613881571887902</v>
      </c>
      <c r="J60" s="242">
        <f>F60</f>
        <v>0.49613881571887902</v>
      </c>
      <c r="K60" s="18">
        <f>E60-F60</f>
        <v>-2.1641414724434538E-2</v>
      </c>
    </row>
    <row r="61" spans="1:11">
      <c r="A61">
        <v>2050</v>
      </c>
      <c r="B61" t="s">
        <v>102</v>
      </c>
      <c r="C61" s="242">
        <f>'Main Benchmarking table'!S13</f>
        <v>0.57676958224446406</v>
      </c>
      <c r="D61" s="242">
        <f>'Main Benchmarking table'!S12</f>
        <v>0.4879960924245122</v>
      </c>
      <c r="E61" s="242"/>
      <c r="F61" s="242"/>
      <c r="H61" s="18">
        <f t="shared" ref="H61:H62" si="2">D61</f>
        <v>0.4879960924245122</v>
      </c>
      <c r="I61" s="18">
        <f t="shared" ref="I61:I62" si="3">C61-D61</f>
        <v>8.8773489819951867E-2</v>
      </c>
      <c r="J61" s="242"/>
    </row>
    <row r="62" spans="1:11">
      <c r="B62" t="s">
        <v>103</v>
      </c>
      <c r="C62" s="242">
        <f>'Main Benchmarking table'!T13</f>
        <v>0.46723438499726511</v>
      </c>
      <c r="D62" s="242">
        <f>'Main Benchmarking table'!T12</f>
        <v>0.40091668630441346</v>
      </c>
      <c r="E62" s="242"/>
      <c r="F62" s="242"/>
      <c r="H62" s="18">
        <f t="shared" si="2"/>
        <v>0.40091668630441346</v>
      </c>
      <c r="I62" s="18">
        <f t="shared" si="3"/>
        <v>6.6317698692851645E-2</v>
      </c>
      <c r="J62" s="242"/>
    </row>
    <row r="63" spans="1:11">
      <c r="B63" t="s">
        <v>116</v>
      </c>
      <c r="C63" s="242"/>
      <c r="D63" s="242"/>
      <c r="E63" s="242">
        <f>'Main Benchmarking table'!W13</f>
        <v>0.57289345932398328</v>
      </c>
      <c r="F63" s="242">
        <f>'Main Benchmarking table'!U12</f>
        <v>0.60696145088610398</v>
      </c>
      <c r="J63" s="242">
        <f>F63</f>
        <v>0.60696145088610398</v>
      </c>
      <c r="K63" s="18">
        <f>E63-F63</f>
        <v>-3.4067991562120703E-2</v>
      </c>
    </row>
    <row r="73" spans="1:4" s="17" customFormat="1">
      <c r="A73" s="235" t="s">
        <v>117</v>
      </c>
    </row>
    <row r="74" spans="1:4">
      <c r="C74" s="14" t="s">
        <v>102</v>
      </c>
      <c r="D74" s="14" t="s">
        <v>103</v>
      </c>
    </row>
    <row r="75" spans="1:4">
      <c r="B75" t="s">
        <v>118</v>
      </c>
      <c r="C75" s="43">
        <f>'Emissions and GHG budget'!AG7</f>
        <v>16394</v>
      </c>
      <c r="D75" s="35">
        <f>'Emissions and GHG budget'!AG18</f>
        <v>17525.092069486029</v>
      </c>
    </row>
    <row r="76" spans="1:4">
      <c r="B76" t="s">
        <v>119</v>
      </c>
      <c r="C76" s="43">
        <f>'Emissions and GHG budget'!AG8</f>
        <v>8198</v>
      </c>
      <c r="D76" s="35">
        <f>'Emissions and GHG budget'!AG19</f>
        <v>8198.4</v>
      </c>
    </row>
    <row r="77" spans="1:4">
      <c r="B77" t="s">
        <v>120</v>
      </c>
      <c r="C77" s="43">
        <f>'Emissions and GHG budget'!AG9</f>
        <v>-6320</v>
      </c>
      <c r="D77" s="35">
        <f>'Emissions and GHG budget'!AG20</f>
        <v>-6320.4000000000024</v>
      </c>
    </row>
    <row r="78" spans="1:4">
      <c r="B78" t="s">
        <v>121</v>
      </c>
      <c r="C78" s="43">
        <f>'Emissions and GHG budget'!AG10</f>
        <v>-2355</v>
      </c>
      <c r="D78" s="35">
        <f>'Emissions and GHG budget'!AG21</f>
        <v>-5800.1424999999999</v>
      </c>
    </row>
    <row r="79" spans="1:4">
      <c r="B79" t="s">
        <v>122</v>
      </c>
      <c r="C79" s="372">
        <f>SUM(C75:C78)</f>
        <v>15917</v>
      </c>
      <c r="D79" s="372">
        <f>SUM(D75:D78)</f>
        <v>13602.949569486025</v>
      </c>
    </row>
    <row r="80" spans="1:4">
      <c r="B80" t="s">
        <v>123</v>
      </c>
      <c r="C80" s="14"/>
      <c r="D80" s="43">
        <f>'Emissions and GHG budget'!AH53</f>
        <v>1446.3788165377846</v>
      </c>
    </row>
    <row r="81" spans="2:4">
      <c r="B81" t="s">
        <v>124</v>
      </c>
      <c r="C81" s="43">
        <f>D81</f>
        <v>2026.5</v>
      </c>
      <c r="D81" s="43">
        <f>'Emissions and GHG budget'!AH58</f>
        <v>2026.5</v>
      </c>
    </row>
    <row r="82" spans="2:4">
      <c r="B82" t="s">
        <v>125</v>
      </c>
      <c r="C82" s="372">
        <f>SUM(C79:C81)</f>
        <v>17943.5</v>
      </c>
      <c r="D82" s="372">
        <f>SUM(D79:D81)</f>
        <v>17075.828386023808</v>
      </c>
    </row>
  </sheetData>
  <mergeCells count="3">
    <mergeCell ref="A5:A6"/>
    <mergeCell ref="A7:A8"/>
    <mergeCell ref="A9:A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657D-6145-4067-9FCF-E7BF31B43D8E}">
  <sheetPr>
    <tabColor theme="4"/>
  </sheetPr>
  <dimension ref="A1:AA133"/>
  <sheetViews>
    <sheetView topLeftCell="A99" zoomScale="88" zoomScaleNormal="88" workbookViewId="0">
      <selection activeCell="B102" sqref="B102"/>
    </sheetView>
  </sheetViews>
  <sheetFormatPr defaultColWidth="9.28515625" defaultRowHeight="16.899999999999999"/>
  <cols>
    <col min="1" max="1" width="5.28515625" style="22" customWidth="1"/>
    <col min="2" max="2" width="53.85546875" style="22" customWidth="1"/>
    <col min="3" max="3" width="12.42578125" style="44" bestFit="1" customWidth="1"/>
    <col min="4" max="4" width="11.42578125" style="44" bestFit="1" customWidth="1"/>
    <col min="5" max="6" width="10.7109375" style="44" bestFit="1" customWidth="1"/>
    <col min="7" max="7" width="10.42578125" style="44" customWidth="1"/>
    <col min="8" max="9" width="10.7109375" style="44" bestFit="1" customWidth="1"/>
    <col min="10" max="10" width="9.28515625" style="22"/>
    <col min="11" max="11" width="19.28515625" style="22" customWidth="1"/>
    <col min="12" max="12" width="9.28515625" style="22"/>
    <col min="13" max="13" width="9.28515625" style="22" customWidth="1"/>
    <col min="14" max="22" width="9.28515625" style="22" hidden="1" customWidth="1"/>
    <col min="23" max="16384" width="9.28515625" style="22"/>
  </cols>
  <sheetData>
    <row r="1" spans="1:21" s="300" customFormat="1">
      <c r="A1" s="304" t="s">
        <v>126</v>
      </c>
      <c r="B1" s="304"/>
      <c r="C1" s="299"/>
      <c r="D1" s="299"/>
      <c r="E1" s="299"/>
      <c r="F1" s="299"/>
      <c r="G1" s="299"/>
      <c r="H1" s="299"/>
      <c r="I1" s="299"/>
    </row>
    <row r="3" spans="1:21">
      <c r="B3" s="1" t="s">
        <v>127</v>
      </c>
    </row>
    <row r="4" spans="1:21">
      <c r="B4" s="12" t="s">
        <v>128</v>
      </c>
    </row>
    <row r="5" spans="1:21">
      <c r="B5" s="12"/>
      <c r="R5" s="408" t="s">
        <v>129</v>
      </c>
    </row>
    <row r="6" spans="1:21">
      <c r="B6" s="534" t="s">
        <v>130</v>
      </c>
      <c r="C6" s="46" t="s">
        <v>131</v>
      </c>
      <c r="D6" s="532" t="s">
        <v>32</v>
      </c>
      <c r="E6" s="533"/>
      <c r="F6" s="532" t="s">
        <v>35</v>
      </c>
      <c r="G6" s="533"/>
      <c r="H6" s="532" t="s">
        <v>36</v>
      </c>
      <c r="I6" s="533"/>
      <c r="K6" s="409" t="s">
        <v>131</v>
      </c>
      <c r="O6" s="46" t="s">
        <v>131</v>
      </c>
      <c r="P6" s="532" t="s">
        <v>32</v>
      </c>
      <c r="Q6" s="533"/>
      <c r="R6" s="532" t="s">
        <v>35</v>
      </c>
      <c r="S6" s="533"/>
      <c r="T6" s="532" t="s">
        <v>36</v>
      </c>
      <c r="U6" s="533"/>
    </row>
    <row r="7" spans="1:21">
      <c r="B7" s="535"/>
      <c r="C7" s="47">
        <v>2022</v>
      </c>
      <c r="D7" s="48">
        <v>2030</v>
      </c>
      <c r="E7" s="48">
        <v>2040</v>
      </c>
      <c r="F7" s="48">
        <v>2040</v>
      </c>
      <c r="G7" s="48">
        <v>2050</v>
      </c>
      <c r="H7" s="48">
        <v>2040</v>
      </c>
      <c r="I7" s="48">
        <v>2050</v>
      </c>
      <c r="K7" s="410">
        <v>2019</v>
      </c>
      <c r="L7" s="12" t="s">
        <v>132</v>
      </c>
      <c r="O7" s="47">
        <v>2022</v>
      </c>
      <c r="P7" s="48">
        <v>2030</v>
      </c>
      <c r="Q7" s="48">
        <v>2040</v>
      </c>
      <c r="R7" s="48">
        <v>2040</v>
      </c>
      <c r="S7" s="48">
        <v>2050</v>
      </c>
      <c r="T7" s="48">
        <v>2040</v>
      </c>
      <c r="U7" s="48">
        <v>2050</v>
      </c>
    </row>
    <row r="8" spans="1:21">
      <c r="B8" s="49" t="s">
        <v>133</v>
      </c>
      <c r="C8" s="364">
        <v>3588.7669999999998</v>
      </c>
      <c r="D8" s="365">
        <v>2977.7941551897229</v>
      </c>
      <c r="E8" s="365">
        <v>1491.7509272985949</v>
      </c>
      <c r="F8" s="365">
        <v>1127.3020140981507</v>
      </c>
      <c r="G8" s="365">
        <v>0.38688526824512337</v>
      </c>
      <c r="H8" s="365">
        <v>1223.5951789125768</v>
      </c>
      <c r="I8" s="365">
        <v>1.5024958478761619E-2</v>
      </c>
      <c r="K8" s="562"/>
      <c r="L8" s="563"/>
      <c r="O8" s="402">
        <f>C8/277.778</f>
        <v>12.919550864359307</v>
      </c>
      <c r="P8" s="402">
        <f t="shared" ref="P8:U20" si="0">D8/277.778</f>
        <v>10.720050382642695</v>
      </c>
      <c r="Q8" s="402">
        <f t="shared" si="0"/>
        <v>5.3702990420357075</v>
      </c>
      <c r="R8" s="402">
        <f t="shared" si="0"/>
        <v>4.058284004126139</v>
      </c>
      <c r="S8" s="402">
        <f t="shared" si="0"/>
        <v>1.3927858514537629E-3</v>
      </c>
      <c r="T8" s="402">
        <f t="shared" si="0"/>
        <v>4.4049391201339798</v>
      </c>
      <c r="U8" s="402">
        <f t="shared" si="0"/>
        <v>5.4089807251696021E-5</v>
      </c>
    </row>
    <row r="9" spans="1:21">
      <c r="B9" s="50" t="s">
        <v>134</v>
      </c>
      <c r="C9" s="364">
        <v>0</v>
      </c>
      <c r="D9" s="365">
        <v>122.03100000000001</v>
      </c>
      <c r="E9" s="365">
        <v>531.73199999999997</v>
      </c>
      <c r="F9" s="365">
        <v>523.12475813869696</v>
      </c>
      <c r="G9" s="365">
        <v>453</v>
      </c>
      <c r="H9" s="365">
        <v>627.32667259725986</v>
      </c>
      <c r="I9" s="365">
        <v>789.75418995396342</v>
      </c>
      <c r="K9" s="562"/>
      <c r="L9" s="563"/>
      <c r="O9" s="402">
        <f t="shared" ref="O9:O20" si="1">C9/277.778</f>
        <v>0</v>
      </c>
      <c r="P9" s="402">
        <f t="shared" si="0"/>
        <v>0.43931124855100112</v>
      </c>
      <c r="Q9" s="402">
        <f t="shared" si="0"/>
        <v>1.9142336686130648</v>
      </c>
      <c r="R9" s="402">
        <f t="shared" si="0"/>
        <v>1.8832476227012107</v>
      </c>
      <c r="S9" s="402">
        <f t="shared" si="0"/>
        <v>1.6307986953610436</v>
      </c>
      <c r="T9" s="402">
        <f t="shared" si="0"/>
        <v>2.2583742146507637</v>
      </c>
      <c r="U9" s="402">
        <f t="shared" si="0"/>
        <v>2.8431128093440208</v>
      </c>
    </row>
    <row r="10" spans="1:21">
      <c r="B10" s="50" t="s">
        <v>135</v>
      </c>
      <c r="C10" s="364">
        <v>0</v>
      </c>
      <c r="D10" s="365">
        <v>45.176000000000002</v>
      </c>
      <c r="E10" s="365">
        <v>178.733</v>
      </c>
      <c r="F10" s="365">
        <v>134.71767465224548</v>
      </c>
      <c r="G10" s="365">
        <v>111</v>
      </c>
      <c r="H10" s="365">
        <v>196.41845973647861</v>
      </c>
      <c r="I10" s="365">
        <v>191.57113536085379</v>
      </c>
      <c r="K10" s="562"/>
      <c r="L10" s="563"/>
      <c r="O10" s="402">
        <f t="shared" si="1"/>
        <v>0</v>
      </c>
      <c r="P10" s="402">
        <f t="shared" si="0"/>
        <v>0.16263346989322408</v>
      </c>
      <c r="Q10" s="402">
        <f t="shared" si="0"/>
        <v>0.64343828524937174</v>
      </c>
      <c r="R10" s="402">
        <f t="shared" si="0"/>
        <v>0.48498324076149107</v>
      </c>
      <c r="S10" s="402">
        <f t="shared" si="0"/>
        <v>0.39959968032025572</v>
      </c>
      <c r="T10" s="402">
        <f t="shared" si="0"/>
        <v>0.70710588936661145</v>
      </c>
      <c r="U10" s="402">
        <f t="shared" si="0"/>
        <v>0.6896555355746451</v>
      </c>
    </row>
    <row r="11" spans="1:21">
      <c r="B11" s="50" t="s">
        <v>83</v>
      </c>
      <c r="C11" s="364">
        <v>6015.1809999999996</v>
      </c>
      <c r="D11" s="365">
        <v>3303.6503887010504</v>
      </c>
      <c r="E11" s="365">
        <v>2029.4129997619848</v>
      </c>
      <c r="F11" s="365">
        <v>1446.6104451166316</v>
      </c>
      <c r="G11" s="365">
        <v>423.95388950086902</v>
      </c>
      <c r="H11" s="365">
        <v>1719.9568743029392</v>
      </c>
      <c r="I11" s="365">
        <v>501.65466319045782</v>
      </c>
      <c r="K11" s="562"/>
      <c r="L11" s="563"/>
      <c r="O11" s="402">
        <f t="shared" si="1"/>
        <v>21.654634276292576</v>
      </c>
      <c r="P11" s="402">
        <f t="shared" si="0"/>
        <v>11.893131884818272</v>
      </c>
      <c r="Q11" s="402">
        <f t="shared" si="0"/>
        <v>7.3058809544383809</v>
      </c>
      <c r="R11" s="402">
        <f t="shared" si="0"/>
        <v>5.2077934361851241</v>
      </c>
      <c r="S11" s="402">
        <f t="shared" si="0"/>
        <v>1.5262327812169034</v>
      </c>
      <c r="T11" s="402">
        <f t="shared" si="0"/>
        <v>6.1918397940187457</v>
      </c>
      <c r="U11" s="402">
        <f t="shared" si="0"/>
        <v>1.8059553427213739</v>
      </c>
    </row>
    <row r="12" spans="1:21">
      <c r="B12" s="50" t="s">
        <v>136</v>
      </c>
      <c r="C12" s="364">
        <v>81.625</v>
      </c>
      <c r="D12" s="365">
        <v>0</v>
      </c>
      <c r="E12" s="365">
        <v>0</v>
      </c>
      <c r="F12" s="365">
        <v>80.015048922050283</v>
      </c>
      <c r="G12" s="365">
        <v>125</v>
      </c>
      <c r="H12" s="365">
        <v>59.215839228104777</v>
      </c>
      <c r="I12" s="365">
        <v>74.295371041462758</v>
      </c>
      <c r="K12" s="562"/>
      <c r="L12" s="563"/>
      <c r="O12" s="402">
        <f t="shared" si="1"/>
        <v>0.29384976492018805</v>
      </c>
      <c r="P12" s="402">
        <f t="shared" si="0"/>
        <v>0</v>
      </c>
      <c r="Q12" s="402">
        <f t="shared" si="0"/>
        <v>0</v>
      </c>
      <c r="R12" s="402">
        <f t="shared" si="0"/>
        <v>0.28805394567622444</v>
      </c>
      <c r="S12" s="402">
        <f t="shared" si="0"/>
        <v>0.44999964000028797</v>
      </c>
      <c r="T12" s="402">
        <f t="shared" si="0"/>
        <v>0.21317685067969663</v>
      </c>
      <c r="U12" s="402">
        <f t="shared" si="0"/>
        <v>0.26746312177876846</v>
      </c>
    </row>
    <row r="13" spans="1:21">
      <c r="B13" s="51" t="s">
        <v>137</v>
      </c>
      <c r="C13" s="366">
        <v>0</v>
      </c>
      <c r="D13" s="367">
        <v>9.6510638782389719</v>
      </c>
      <c r="E13" s="367">
        <v>174.11684649940685</v>
      </c>
      <c r="F13" s="367">
        <v>0</v>
      </c>
      <c r="G13" s="367">
        <v>0</v>
      </c>
      <c r="H13" s="367">
        <v>0</v>
      </c>
      <c r="I13" s="367">
        <v>0</v>
      </c>
      <c r="K13" s="562"/>
      <c r="L13" s="563"/>
      <c r="O13" s="402">
        <f t="shared" si="1"/>
        <v>0</v>
      </c>
      <c r="P13" s="402">
        <f t="shared" si="0"/>
        <v>3.4743802166618563E-2</v>
      </c>
      <c r="Q13" s="402">
        <f t="shared" si="0"/>
        <v>0.62682014594174784</v>
      </c>
      <c r="R13" s="402">
        <f t="shared" si="0"/>
        <v>0</v>
      </c>
      <c r="S13" s="402">
        <f t="shared" si="0"/>
        <v>0</v>
      </c>
      <c r="T13" s="402">
        <f t="shared" si="0"/>
        <v>0</v>
      </c>
      <c r="U13" s="402">
        <f t="shared" si="0"/>
        <v>0</v>
      </c>
    </row>
    <row r="14" spans="1:21">
      <c r="B14" s="50" t="s">
        <v>138</v>
      </c>
      <c r="C14" s="364">
        <v>0</v>
      </c>
      <c r="D14" s="365">
        <v>7.5</v>
      </c>
      <c r="E14" s="365">
        <v>15</v>
      </c>
      <c r="F14" s="365">
        <v>3.6949723285098215</v>
      </c>
      <c r="G14" s="365">
        <v>17.271800424652046</v>
      </c>
      <c r="H14" s="365">
        <v>6.5914492930962805</v>
      </c>
      <c r="I14" s="365">
        <v>15.461453624933679</v>
      </c>
      <c r="K14" s="562"/>
      <c r="L14" s="563"/>
      <c r="O14" s="402">
        <f t="shared" si="1"/>
        <v>0</v>
      </c>
      <c r="P14" s="402">
        <f t="shared" si="0"/>
        <v>2.6999978400017277E-2</v>
      </c>
      <c r="Q14" s="402">
        <f t="shared" si="0"/>
        <v>5.3999956800034554E-2</v>
      </c>
      <c r="R14" s="402">
        <f t="shared" si="0"/>
        <v>1.3301889741123564E-2</v>
      </c>
      <c r="S14" s="402">
        <f t="shared" si="0"/>
        <v>6.2178431786001929E-2</v>
      </c>
      <c r="T14" s="402">
        <f t="shared" si="0"/>
        <v>2.3729198471787831E-2</v>
      </c>
      <c r="U14" s="402">
        <f t="shared" si="0"/>
        <v>5.5661188520810423E-2</v>
      </c>
    </row>
    <row r="15" spans="1:21">
      <c r="B15" s="49" t="s">
        <v>139</v>
      </c>
      <c r="C15" s="364">
        <v>1884.567</v>
      </c>
      <c r="D15" s="365">
        <v>179.28163786885034</v>
      </c>
      <c r="E15" s="365">
        <v>65.709651040587545</v>
      </c>
      <c r="F15" s="365">
        <v>166</v>
      </c>
      <c r="G15" s="365">
        <v>106</v>
      </c>
      <c r="H15" s="365">
        <v>182.87130045108779</v>
      </c>
      <c r="I15" s="365">
        <v>102.45937112834974</v>
      </c>
      <c r="K15" s="562"/>
      <c r="L15" s="563"/>
      <c r="O15" s="402">
        <f t="shared" si="1"/>
        <v>6.7844357724513813</v>
      </c>
      <c r="P15" s="402">
        <f t="shared" si="0"/>
        <v>0.6454133799971572</v>
      </c>
      <c r="Q15" s="402">
        <f t="shared" si="0"/>
        <v>0.23655455450247154</v>
      </c>
      <c r="R15" s="402">
        <f t="shared" si="0"/>
        <v>0.59759952192038246</v>
      </c>
      <c r="S15" s="402">
        <f t="shared" si="0"/>
        <v>0.38159969472024419</v>
      </c>
      <c r="T15" s="402">
        <f t="shared" si="0"/>
        <v>0.65833615495499198</v>
      </c>
      <c r="U15" s="402">
        <f t="shared" si="0"/>
        <v>0.36885344097930628</v>
      </c>
    </row>
    <row r="16" spans="1:21">
      <c r="B16" s="49" t="s">
        <v>140</v>
      </c>
      <c r="C16" s="364">
        <v>1604.8789999999999</v>
      </c>
      <c r="D16" s="365">
        <v>2021.9443946033189</v>
      </c>
      <c r="E16" s="365">
        <v>2447.3979441018805</v>
      </c>
      <c r="F16" s="365">
        <v>1670.1230068863874</v>
      </c>
      <c r="G16" s="365">
        <v>1575.2743429895449</v>
      </c>
      <c r="H16" s="365">
        <v>1990.3384591293932</v>
      </c>
      <c r="I16" s="365">
        <v>2005.6676657618732</v>
      </c>
      <c r="K16" s="562"/>
      <c r="L16" s="563"/>
      <c r="O16" s="403">
        <f t="shared" si="1"/>
        <v>5.7775597779521766</v>
      </c>
      <c r="P16" s="403">
        <f t="shared" si="0"/>
        <v>7.2789939973767499</v>
      </c>
      <c r="Q16" s="403">
        <f t="shared" si="0"/>
        <v>8.8106255502663284</v>
      </c>
      <c r="R16" s="403">
        <f t="shared" si="0"/>
        <v>6.0124380148405825</v>
      </c>
      <c r="S16" s="403">
        <f t="shared" si="0"/>
        <v>5.6709830979758831</v>
      </c>
      <c r="T16" s="403">
        <f t="shared" si="0"/>
        <v>7.1652127206956386</v>
      </c>
      <c r="U16" s="403">
        <f t="shared" si="0"/>
        <v>7.2203978204244867</v>
      </c>
    </row>
    <row r="17" spans="2:21">
      <c r="B17" s="49" t="s">
        <v>141</v>
      </c>
      <c r="C17" s="364">
        <v>1808.249</v>
      </c>
      <c r="D17" s="365">
        <v>567.64064027999598</v>
      </c>
      <c r="E17" s="365">
        <v>522.4438506459901</v>
      </c>
      <c r="F17" s="365">
        <v>401.58842000000004</v>
      </c>
      <c r="G17" s="365">
        <v>246.81151</v>
      </c>
      <c r="H17" s="365">
        <v>552.88364000000001</v>
      </c>
      <c r="I17" s="365">
        <v>507.93813</v>
      </c>
      <c r="K17" s="562"/>
      <c r="L17" s="563"/>
      <c r="O17" s="402">
        <f t="shared" si="1"/>
        <v>6.509691192247046</v>
      </c>
      <c r="P17" s="402">
        <f t="shared" si="0"/>
        <v>2.0435046702042494</v>
      </c>
      <c r="Q17" s="402">
        <f t="shared" si="0"/>
        <v>1.8807963576884781</v>
      </c>
      <c r="R17" s="402">
        <f t="shared" si="0"/>
        <v>1.4457171554262758</v>
      </c>
      <c r="S17" s="402">
        <f t="shared" si="0"/>
        <v>0.88852072518341974</v>
      </c>
      <c r="T17" s="402">
        <f t="shared" si="0"/>
        <v>1.9903795116963905</v>
      </c>
      <c r="U17" s="402">
        <f t="shared" si="0"/>
        <v>1.8285758051393557</v>
      </c>
    </row>
    <row r="18" spans="2:21">
      <c r="B18" s="49" t="s">
        <v>142</v>
      </c>
      <c r="C18" s="364">
        <v>276.23700000000002</v>
      </c>
      <c r="D18" s="365">
        <v>314.90663010999901</v>
      </c>
      <c r="E18" s="365">
        <v>314.73668765999798</v>
      </c>
      <c r="F18" s="365">
        <v>314.59375</v>
      </c>
      <c r="G18" s="365">
        <v>313.35157000000004</v>
      </c>
      <c r="H18" s="365">
        <v>314.47647000000001</v>
      </c>
      <c r="I18" s="365">
        <v>314.69470000000001</v>
      </c>
      <c r="K18" s="562"/>
      <c r="L18" s="563"/>
      <c r="O18" s="402">
        <f t="shared" si="1"/>
        <v>0.99445240443807648</v>
      </c>
      <c r="P18" s="402">
        <f t="shared" si="0"/>
        <v>1.1336629614656273</v>
      </c>
      <c r="Q18" s="402">
        <f t="shared" si="0"/>
        <v>1.1330511691350573</v>
      </c>
      <c r="R18" s="402">
        <f t="shared" si="0"/>
        <v>1.1325365939707248</v>
      </c>
      <c r="S18" s="402">
        <f t="shared" si="0"/>
        <v>1.1280647495482004</v>
      </c>
      <c r="T18" s="402">
        <f t="shared" si="0"/>
        <v>1.1321143863084908</v>
      </c>
      <c r="U18" s="402">
        <f t="shared" si="0"/>
        <v>1.1329000136799889</v>
      </c>
    </row>
    <row r="19" spans="2:21">
      <c r="B19" s="49" t="s">
        <v>143</v>
      </c>
      <c r="C19" s="364">
        <v>251.185</v>
      </c>
      <c r="D19" s="365">
        <v>771.74168311200106</v>
      </c>
      <c r="E19" s="365">
        <v>1343.8442921589999</v>
      </c>
      <c r="F19" s="365">
        <v>1583.0448802000001</v>
      </c>
      <c r="G19" s="365">
        <v>2246.1636115999991</v>
      </c>
      <c r="H19" s="365">
        <v>1443.7531511999998</v>
      </c>
      <c r="I19" s="365">
        <v>1907.5570581999996</v>
      </c>
      <c r="K19" s="562"/>
      <c r="L19" s="563"/>
      <c r="O19" s="402">
        <f t="shared" si="1"/>
        <v>0.90426527658777867</v>
      </c>
      <c r="P19" s="402">
        <f t="shared" si="0"/>
        <v>2.7782678365889342</v>
      </c>
      <c r="Q19" s="402">
        <f t="shared" si="0"/>
        <v>4.837835581503934</v>
      </c>
      <c r="R19" s="402">
        <f t="shared" si="0"/>
        <v>5.698957009554392</v>
      </c>
      <c r="S19" s="402">
        <f t="shared" si="0"/>
        <v>8.0861825328139698</v>
      </c>
      <c r="T19" s="402">
        <f t="shared" si="0"/>
        <v>5.1975071863142501</v>
      </c>
      <c r="U19" s="402">
        <f t="shared" si="0"/>
        <v>6.8671999157600654</v>
      </c>
    </row>
    <row r="20" spans="2:21">
      <c r="B20" s="49" t="s">
        <v>144</v>
      </c>
      <c r="C20" s="364">
        <v>421.31700000000001</v>
      </c>
      <c r="D20" s="365">
        <v>1285.902418338</v>
      </c>
      <c r="E20" s="365">
        <v>2460.444942267</v>
      </c>
      <c r="F20" s="365">
        <v>2905.5760349000002</v>
      </c>
      <c r="G20" s="365">
        <v>3814.3538221000003</v>
      </c>
      <c r="H20" s="365">
        <v>2845.4856705000002</v>
      </c>
      <c r="I20" s="365">
        <v>3895.7899885999996</v>
      </c>
      <c r="K20" s="562"/>
      <c r="L20" s="563"/>
      <c r="O20" s="402">
        <f t="shared" si="1"/>
        <v>1.5167399866080107</v>
      </c>
      <c r="P20" s="402">
        <f t="shared" si="0"/>
        <v>4.6292450026207979</v>
      </c>
      <c r="Q20" s="402">
        <f t="shared" si="0"/>
        <v>8.8575947060854343</v>
      </c>
      <c r="R20" s="402">
        <f t="shared" si="0"/>
        <v>10.460065357587714</v>
      </c>
      <c r="S20" s="402">
        <f t="shared" si="0"/>
        <v>13.731662774229781</v>
      </c>
      <c r="T20" s="402">
        <f t="shared" si="0"/>
        <v>10.243740218807824</v>
      </c>
      <c r="U20" s="402">
        <f t="shared" si="0"/>
        <v>14.024832739093807</v>
      </c>
    </row>
    <row r="21" spans="2:21">
      <c r="B21" s="51" t="s">
        <v>145</v>
      </c>
      <c r="C21" s="365">
        <v>271.221</v>
      </c>
      <c r="D21" s="365">
        <v>185.14318497098733</v>
      </c>
      <c r="E21" s="365">
        <v>147</v>
      </c>
      <c r="F21" s="365">
        <v>143.86554599999999</v>
      </c>
      <c r="G21" s="365">
        <v>133.13015029999997</v>
      </c>
      <c r="H21" s="365">
        <v>143.79181940000001</v>
      </c>
      <c r="I21" s="365">
        <v>134.38217639999999</v>
      </c>
      <c r="K21" s="562"/>
      <c r="O21" s="402">
        <f t="shared" ref="O21" si="2">C21/277.778</f>
        <v>0.97639481888414481</v>
      </c>
      <c r="P21" s="402">
        <f t="shared" ref="P21" si="3">D21/277.778</f>
        <v>0.66651493268360817</v>
      </c>
      <c r="Q21" s="402">
        <f t="shared" ref="Q21" si="4">E21/277.778</f>
        <v>0.52919957664033868</v>
      </c>
      <c r="R21" s="402">
        <f t="shared" ref="R21" si="5">F21/277.778</f>
        <v>0.51791555126755895</v>
      </c>
      <c r="S21" s="402">
        <f t="shared" ref="S21" si="6">G21/277.778</f>
        <v>0.4792681576654737</v>
      </c>
      <c r="T21" s="402">
        <f t="shared" ref="T21" si="7">H21/277.778</f>
        <v>0.51765013571989138</v>
      </c>
      <c r="U21" s="402">
        <f t="shared" ref="U21" si="8">I21/277.778</f>
        <v>0.48377544801964151</v>
      </c>
    </row>
    <row r="22" spans="2:21">
      <c r="B22" s="52" t="s">
        <v>146</v>
      </c>
      <c r="C22" s="368">
        <f t="shared" ref="C22:I22" si="9">SUM(C8:C21)</f>
        <v>16203.227999999997</v>
      </c>
      <c r="D22" s="368">
        <f>SUM(D8:D21)</f>
        <v>11792.363197052167</v>
      </c>
      <c r="E22" s="368">
        <f t="shared" si="9"/>
        <v>11722.323141434443</v>
      </c>
      <c r="F22" s="368">
        <f t="shared" si="9"/>
        <v>10500.256551242674</v>
      </c>
      <c r="G22" s="368">
        <f t="shared" si="9"/>
        <v>9565.6975821833112</v>
      </c>
      <c r="H22" s="368">
        <f t="shared" si="9"/>
        <v>11306.704984750935</v>
      </c>
      <c r="I22" s="368">
        <f t="shared" si="9"/>
        <v>10441.240928220373</v>
      </c>
      <c r="K22" s="411">
        <v>17466</v>
      </c>
      <c r="O22" s="368">
        <f t="shared" ref="O22" si="10">SUM(O8:O21)</f>
        <v>58.331574134740691</v>
      </c>
      <c r="P22" s="368">
        <f>SUM(P8:P21)</f>
        <v>42.452473547408957</v>
      </c>
      <c r="Q22" s="368">
        <f t="shared" ref="Q22:U22" si="11">SUM(Q8:Q21)</f>
        <v>42.200329548900349</v>
      </c>
      <c r="R22" s="368">
        <f t="shared" si="11"/>
        <v>37.800893343758943</v>
      </c>
      <c r="S22" s="368">
        <f t="shared" si="11"/>
        <v>34.43648374667292</v>
      </c>
      <c r="T22" s="368">
        <f t="shared" si="11"/>
        <v>40.704105381819062</v>
      </c>
      <c r="U22" s="368">
        <f t="shared" si="11"/>
        <v>37.588437270843521</v>
      </c>
    </row>
    <row r="23" spans="2:21">
      <c r="D23" s="53"/>
      <c r="E23" s="53"/>
      <c r="F23" s="53"/>
      <c r="G23" s="53"/>
      <c r="H23" s="53"/>
      <c r="I23" s="53"/>
      <c r="K23" s="407"/>
    </row>
    <row r="24" spans="2:21">
      <c r="B24" s="1" t="s">
        <v>147</v>
      </c>
      <c r="C24" s="39">
        <f>C8+C11+C15+C10</f>
        <v>11488.514999999999</v>
      </c>
      <c r="D24" s="39">
        <f>D8+D11+D15+D10</f>
        <v>6505.902181759624</v>
      </c>
      <c r="E24" s="39">
        <f t="shared" ref="E24:H24" si="12">E8+E11+E15+E10</f>
        <v>3765.6065781011675</v>
      </c>
      <c r="F24" s="39">
        <f t="shared" si="12"/>
        <v>2874.6301338670278</v>
      </c>
      <c r="G24" s="39">
        <f t="shared" si="12"/>
        <v>641.3407747691142</v>
      </c>
      <c r="H24" s="39">
        <f t="shared" si="12"/>
        <v>3322.8418134030826</v>
      </c>
      <c r="I24" s="39">
        <f>I8+I11+I15+I10</f>
        <v>795.70019463814015</v>
      </c>
      <c r="K24" s="118">
        <v>12300</v>
      </c>
      <c r="O24" s="402">
        <f t="shared" ref="O24:O27" si="13">C24/277.778</f>
        <v>41.358620913103266</v>
      </c>
      <c r="P24" s="402">
        <f t="shared" ref="P24:P27" si="14">D24/277.778</f>
        <v>23.421229117351352</v>
      </c>
      <c r="Q24" s="402">
        <f t="shared" ref="Q24:Q27" si="15">E24/277.778</f>
        <v>13.556172836225933</v>
      </c>
      <c r="R24" s="402">
        <f t="shared" ref="R24:R27" si="16">F24/277.778</f>
        <v>10.348660202993138</v>
      </c>
      <c r="S24" s="402">
        <f t="shared" ref="S24:S27" si="17">G24/277.778</f>
        <v>2.3088249421088571</v>
      </c>
      <c r="T24" s="402">
        <f t="shared" ref="T24:T27" si="18">H24/277.778</f>
        <v>11.96222095847433</v>
      </c>
      <c r="U24" s="402">
        <f t="shared" ref="U24:U27" si="19">I24/277.778</f>
        <v>2.864518409082577</v>
      </c>
    </row>
    <row r="25" spans="2:21">
      <c r="B25" s="1" t="s">
        <v>148</v>
      </c>
      <c r="C25" s="39">
        <f>C21+C20+C19+C18+C16+C12+C9</f>
        <v>2906.4639999999999</v>
      </c>
      <c r="D25" s="39">
        <f t="shared" ref="D25:H25" si="20">D21+D20+D19+D18+D16+D12+D9</f>
        <v>4701.6693111343066</v>
      </c>
      <c r="E25" s="39">
        <f t="shared" si="20"/>
        <v>7245.1558661878789</v>
      </c>
      <c r="F25" s="39">
        <f t="shared" si="20"/>
        <v>7220.3430250471347</v>
      </c>
      <c r="G25" s="39">
        <f t="shared" si="20"/>
        <v>8660.2734969895446</v>
      </c>
      <c r="H25" s="39">
        <f t="shared" si="20"/>
        <v>7424.3880820547574</v>
      </c>
      <c r="I25" s="39">
        <f>I21+I20+I19+I18+I16+I12+I9</f>
        <v>9122.1411499572969</v>
      </c>
      <c r="O25" s="402">
        <f t="shared" si="13"/>
        <v>10.463262029390375</v>
      </c>
      <c r="P25" s="402">
        <f t="shared" si="14"/>
        <v>16.925995979286718</v>
      </c>
      <c r="Q25" s="402">
        <f t="shared" si="15"/>
        <v>26.082540252244161</v>
      </c>
      <c r="R25" s="402">
        <f t="shared" si="16"/>
        <v>25.993214095598407</v>
      </c>
      <c r="S25" s="402">
        <f t="shared" si="17"/>
        <v>31.176959647594639</v>
      </c>
      <c r="T25" s="402">
        <f t="shared" si="18"/>
        <v>26.727775713176555</v>
      </c>
      <c r="U25" s="402">
        <f t="shared" si="19"/>
        <v>32.839681868100769</v>
      </c>
    </row>
    <row r="26" spans="2:21">
      <c r="B26" s="1" t="s">
        <v>149</v>
      </c>
      <c r="C26" s="119">
        <f t="shared" ref="C26:H26" si="21">C20+C19+C18</f>
        <v>948.73900000000003</v>
      </c>
      <c r="D26" s="119">
        <f t="shared" si="21"/>
        <v>2372.5507315599998</v>
      </c>
      <c r="E26" s="119">
        <f t="shared" si="21"/>
        <v>4119.025922085998</v>
      </c>
      <c r="F26" s="119">
        <f t="shared" si="21"/>
        <v>4803.2146651000003</v>
      </c>
      <c r="G26" s="119">
        <f t="shared" si="21"/>
        <v>6373.8690036999988</v>
      </c>
      <c r="H26" s="119">
        <f t="shared" si="21"/>
        <v>4603.7152916999994</v>
      </c>
      <c r="I26" s="119">
        <f>I20+I19+I18</f>
        <v>6118.0417467999996</v>
      </c>
      <c r="O26" s="402">
        <f t="shared" si="13"/>
        <v>3.4154576676338659</v>
      </c>
      <c r="P26" s="402">
        <f t="shared" si="14"/>
        <v>8.541175800675358</v>
      </c>
      <c r="Q26" s="402">
        <f t="shared" si="15"/>
        <v>14.828481456724427</v>
      </c>
      <c r="R26" s="402">
        <f t="shared" si="16"/>
        <v>17.29155896111283</v>
      </c>
      <c r="S26" s="402">
        <f t="shared" si="17"/>
        <v>22.945910056591948</v>
      </c>
      <c r="T26" s="402">
        <f t="shared" si="18"/>
        <v>16.573361791430564</v>
      </c>
      <c r="U26" s="402">
        <f t="shared" si="19"/>
        <v>22.024932668533861</v>
      </c>
    </row>
    <row r="27" spans="2:21">
      <c r="B27" s="1" t="s">
        <v>150</v>
      </c>
      <c r="C27" s="119">
        <f>C16+C12</f>
        <v>1686.5039999999999</v>
      </c>
      <c r="D27" s="119">
        <f t="shared" ref="D27:F27" si="22">D16+D12</f>
        <v>2021.9443946033189</v>
      </c>
      <c r="E27" s="119">
        <f t="shared" si="22"/>
        <v>2447.3979441018805</v>
      </c>
      <c r="F27" s="119">
        <f t="shared" si="22"/>
        <v>1750.1380558084377</v>
      </c>
      <c r="G27" s="119">
        <f>G16+G12</f>
        <v>1700.2743429895449</v>
      </c>
      <c r="H27" s="119">
        <f>H16+H12</f>
        <v>2049.5542983574978</v>
      </c>
      <c r="I27" s="119">
        <f>I16+I12</f>
        <v>2079.9630368033359</v>
      </c>
      <c r="O27" s="403">
        <f t="shared" si="13"/>
        <v>6.0714095428723649</v>
      </c>
      <c r="P27" s="403">
        <f t="shared" si="14"/>
        <v>7.2789939973767499</v>
      </c>
      <c r="Q27" s="403">
        <f t="shared" si="15"/>
        <v>8.8106255502663284</v>
      </c>
      <c r="R27" s="403">
        <f t="shared" si="16"/>
        <v>6.3004919605168066</v>
      </c>
      <c r="S27" s="403">
        <f t="shared" si="17"/>
        <v>6.1209827379761714</v>
      </c>
      <c r="T27" s="403">
        <f t="shared" si="18"/>
        <v>7.3783895713753349</v>
      </c>
      <c r="U27" s="403">
        <f t="shared" si="19"/>
        <v>7.4878609422032545</v>
      </c>
    </row>
    <row r="28" spans="2:21">
      <c r="D28" s="53"/>
      <c r="E28" s="53"/>
      <c r="F28" s="53"/>
      <c r="G28" s="53"/>
      <c r="H28" s="53"/>
      <c r="I28" s="53"/>
    </row>
    <row r="29" spans="2:21">
      <c r="B29" s="54" t="s">
        <v>151</v>
      </c>
      <c r="D29" s="55"/>
      <c r="E29" s="56"/>
      <c r="F29" s="56"/>
      <c r="G29" s="55"/>
      <c r="H29" s="56"/>
      <c r="I29" s="55"/>
    </row>
    <row r="30" spans="2:21">
      <c r="B30" s="54" t="s">
        <v>152</v>
      </c>
    </row>
    <row r="31" spans="2:21">
      <c r="B31" s="54" t="s">
        <v>153</v>
      </c>
    </row>
    <row r="32" spans="2:21">
      <c r="B32" s="54" t="s">
        <v>154</v>
      </c>
    </row>
    <row r="34" spans="2:11" hidden="1">
      <c r="B34" s="52" t="s">
        <v>130</v>
      </c>
      <c r="C34" s="57" t="s">
        <v>155</v>
      </c>
      <c r="D34" s="528" t="s">
        <v>111</v>
      </c>
      <c r="E34" s="529"/>
      <c r="F34" s="528" t="s">
        <v>35</v>
      </c>
      <c r="G34" s="529"/>
      <c r="H34" s="528" t="s">
        <v>36</v>
      </c>
      <c r="I34" s="529"/>
    </row>
    <row r="35" spans="2:11" hidden="1">
      <c r="B35" s="52"/>
      <c r="C35" s="58">
        <v>2015</v>
      </c>
      <c r="D35" s="58">
        <v>2030</v>
      </c>
      <c r="E35" s="58">
        <v>2040</v>
      </c>
      <c r="F35" s="58">
        <v>2040</v>
      </c>
      <c r="G35" s="58">
        <v>2050</v>
      </c>
      <c r="H35" s="58">
        <v>2040</v>
      </c>
      <c r="I35" s="58">
        <v>2050</v>
      </c>
    </row>
    <row r="36" spans="2:11" hidden="1">
      <c r="B36" s="59" t="s">
        <v>156</v>
      </c>
      <c r="C36" s="60"/>
      <c r="D36" s="60">
        <v>9.6510638782389719</v>
      </c>
      <c r="E36" s="60">
        <v>174.11684649940685</v>
      </c>
      <c r="F36" s="60">
        <v>0</v>
      </c>
      <c r="G36" s="60">
        <v>0</v>
      </c>
      <c r="H36" s="60">
        <v>0</v>
      </c>
      <c r="I36" s="60">
        <v>0</v>
      </c>
    </row>
    <row r="37" spans="2:11" hidden="1">
      <c r="B37" s="59" t="s">
        <v>157</v>
      </c>
      <c r="C37" s="60"/>
      <c r="D37" s="60">
        <v>51.985666666666667</v>
      </c>
      <c r="E37" s="60">
        <v>132.95965598388241</v>
      </c>
      <c r="F37" s="60">
        <v>0</v>
      </c>
      <c r="G37" s="60">
        <v>0</v>
      </c>
      <c r="H37" s="60">
        <v>0</v>
      </c>
      <c r="I37" s="60">
        <v>0</v>
      </c>
    </row>
    <row r="38" spans="2:11" hidden="1">
      <c r="D38" s="61"/>
      <c r="E38" s="61"/>
    </row>
    <row r="39" spans="2:11" hidden="1">
      <c r="B39" s="62" t="s">
        <v>158</v>
      </c>
    </row>
    <row r="40" spans="2:11" hidden="1">
      <c r="B40" s="63" t="s">
        <v>159</v>
      </c>
    </row>
    <row r="41" spans="2:11" hidden="1">
      <c r="B41" s="12" t="s">
        <v>160</v>
      </c>
    </row>
    <row r="42" spans="2:11" hidden="1"/>
    <row r="43" spans="2:11" hidden="1">
      <c r="B43" s="64" t="s">
        <v>161</v>
      </c>
      <c r="C43" s="8">
        <v>192.221</v>
      </c>
      <c r="K43" s="65" t="s">
        <v>162</v>
      </c>
    </row>
    <row r="44" spans="2:11" hidden="1">
      <c r="B44" s="64" t="s">
        <v>163</v>
      </c>
      <c r="C44" s="8">
        <v>165.584</v>
      </c>
    </row>
    <row r="45" spans="2:11" hidden="1"/>
    <row r="46" spans="2:11" hidden="1"/>
    <row r="47" spans="2:11" hidden="1">
      <c r="B47" s="52" t="s">
        <v>130</v>
      </c>
      <c r="C47" s="528" t="s">
        <v>111</v>
      </c>
      <c r="D47" s="529"/>
    </row>
    <row r="48" spans="2:11" hidden="1">
      <c r="B48" s="52" t="s">
        <v>164</v>
      </c>
      <c r="C48" s="58">
        <v>2030</v>
      </c>
      <c r="D48" s="58">
        <v>2040</v>
      </c>
      <c r="E48" s="66"/>
      <c r="F48" s="66"/>
      <c r="G48" s="66"/>
      <c r="H48" s="66"/>
      <c r="I48" s="66"/>
    </row>
    <row r="49" spans="2:9" hidden="1">
      <c r="B49" s="59" t="s">
        <v>157</v>
      </c>
      <c r="C49" s="60">
        <v>51.985666666666667</v>
      </c>
      <c r="D49" s="60">
        <v>132.95965598388241</v>
      </c>
      <c r="E49" s="67"/>
      <c r="F49" s="67"/>
      <c r="G49" s="67"/>
      <c r="H49" s="67"/>
      <c r="I49" s="67"/>
    </row>
    <row r="50" spans="2:9" hidden="1">
      <c r="B50" s="68" t="s">
        <v>165</v>
      </c>
      <c r="C50" s="69">
        <f>C51+C52</f>
        <v>74</v>
      </c>
      <c r="D50" s="69">
        <f>D51+D52</f>
        <v>189</v>
      </c>
      <c r="E50" s="66"/>
      <c r="F50" s="66"/>
      <c r="G50" s="66"/>
      <c r="H50" s="66"/>
      <c r="I50" s="66"/>
    </row>
    <row r="51" spans="2:9" hidden="1">
      <c r="B51" s="70" t="s">
        <v>166</v>
      </c>
      <c r="C51" s="71">
        <f>D61</f>
        <v>39</v>
      </c>
      <c r="D51" s="71">
        <f>D74</f>
        <v>100</v>
      </c>
      <c r="E51" s="66"/>
      <c r="F51" s="66"/>
      <c r="G51" s="66"/>
      <c r="H51" s="66"/>
      <c r="I51" s="66"/>
    </row>
    <row r="52" spans="2:9" hidden="1">
      <c r="B52" s="70" t="s">
        <v>167</v>
      </c>
      <c r="C52" s="71">
        <f>C61</f>
        <v>35</v>
      </c>
      <c r="D52" s="71">
        <f>C74</f>
        <v>89</v>
      </c>
      <c r="E52" s="66"/>
      <c r="F52" s="66"/>
      <c r="G52" s="66"/>
      <c r="H52" s="66"/>
      <c r="I52" s="66"/>
    </row>
    <row r="53" spans="2:9" hidden="1">
      <c r="B53" s="72"/>
      <c r="C53" s="66"/>
      <c r="D53" s="66"/>
      <c r="E53" s="66"/>
      <c r="F53" s="66"/>
      <c r="G53" s="66"/>
      <c r="H53" s="66"/>
      <c r="I53" s="66"/>
    </row>
    <row r="54" spans="2:9" hidden="1">
      <c r="B54" s="73" t="s">
        <v>168</v>
      </c>
      <c r="C54" s="66"/>
      <c r="D54" s="66"/>
      <c r="E54" s="66"/>
      <c r="F54" s="66"/>
      <c r="G54" s="66"/>
      <c r="H54" s="66"/>
      <c r="I54" s="66"/>
    </row>
    <row r="55" spans="2:9" hidden="1">
      <c r="B55" s="74">
        <v>2030</v>
      </c>
      <c r="C55" s="22"/>
      <c r="D55" s="22"/>
      <c r="E55" s="22"/>
      <c r="F55" s="66"/>
      <c r="G55" s="66"/>
      <c r="H55" s="66"/>
      <c r="I55" s="66"/>
    </row>
    <row r="56" spans="2:9" ht="17.45" hidden="1" thickBot="1">
      <c r="B56" s="75" t="s">
        <v>169</v>
      </c>
      <c r="C56" s="22"/>
      <c r="D56" s="22"/>
      <c r="E56" s="22"/>
      <c r="F56" s="66"/>
      <c r="G56" s="66"/>
      <c r="H56" s="66"/>
      <c r="I56" s="66"/>
    </row>
    <row r="57" spans="2:9" ht="17.45" hidden="1" thickBot="1">
      <c r="B57" s="76"/>
      <c r="C57" s="77" t="s">
        <v>144</v>
      </c>
      <c r="D57" s="77" t="s">
        <v>143</v>
      </c>
      <c r="E57" s="77" t="s">
        <v>170</v>
      </c>
      <c r="F57" s="66"/>
      <c r="G57" s="66"/>
      <c r="H57" s="66"/>
      <c r="I57" s="66"/>
    </row>
    <row r="58" spans="2:9" ht="17.45" hidden="1" thickBot="1">
      <c r="B58" s="78" t="s">
        <v>171</v>
      </c>
      <c r="C58" s="79">
        <v>0.4</v>
      </c>
      <c r="D58" s="79">
        <v>0.6</v>
      </c>
      <c r="E58" s="80"/>
      <c r="F58" s="81"/>
      <c r="G58" s="81"/>
      <c r="H58" s="81"/>
      <c r="I58" s="81"/>
    </row>
    <row r="59" spans="2:9" ht="17.45" hidden="1" thickBot="1">
      <c r="B59" s="78" t="s">
        <v>172</v>
      </c>
      <c r="C59" s="82">
        <v>2400</v>
      </c>
      <c r="D59" s="82">
        <v>1800</v>
      </c>
      <c r="E59" s="82">
        <v>2040</v>
      </c>
      <c r="F59" s="66"/>
      <c r="G59" s="66"/>
      <c r="H59" s="66"/>
      <c r="I59" s="66"/>
    </row>
    <row r="60" spans="2:9" ht="17.45" hidden="1" thickBot="1">
      <c r="B60" s="78" t="s">
        <v>173</v>
      </c>
      <c r="C60" s="82">
        <v>14.56</v>
      </c>
      <c r="D60" s="82">
        <v>21.83</v>
      </c>
      <c r="E60" s="82">
        <v>36.4</v>
      </c>
      <c r="F60" s="66"/>
      <c r="G60" s="66"/>
      <c r="H60" s="66"/>
      <c r="I60" s="66"/>
    </row>
    <row r="61" spans="2:9" ht="17.45" hidden="1" thickBot="1">
      <c r="B61" s="78" t="s">
        <v>174</v>
      </c>
      <c r="C61" s="82">
        <v>35</v>
      </c>
      <c r="D61" s="82">
        <v>39</v>
      </c>
      <c r="E61" s="82">
        <v>74</v>
      </c>
      <c r="F61" s="66"/>
      <c r="G61" s="66"/>
      <c r="H61" s="66"/>
      <c r="I61" s="66"/>
    </row>
    <row r="62" spans="2:9" ht="17.45" hidden="1" thickBot="1">
      <c r="B62" s="75" t="s">
        <v>175</v>
      </c>
      <c r="C62" s="22"/>
      <c r="D62" s="22"/>
      <c r="E62" s="22"/>
      <c r="F62" s="66"/>
      <c r="G62" s="66"/>
      <c r="H62" s="66"/>
      <c r="I62" s="66"/>
    </row>
    <row r="63" spans="2:9" ht="17.45" hidden="1" thickBot="1">
      <c r="B63" s="76"/>
      <c r="C63" s="83" t="s">
        <v>176</v>
      </c>
      <c r="D63" s="83" t="s">
        <v>177</v>
      </c>
      <c r="E63" s="22"/>
      <c r="F63" s="66"/>
      <c r="G63" s="66"/>
      <c r="H63" s="66"/>
      <c r="I63" s="66"/>
    </row>
    <row r="64" spans="2:9" ht="17.45" hidden="1" thickBot="1">
      <c r="B64" s="78" t="s">
        <v>178</v>
      </c>
      <c r="C64" s="82">
        <v>3500</v>
      </c>
      <c r="D64" s="82">
        <v>14.8</v>
      </c>
      <c r="E64" s="22"/>
      <c r="F64" s="66"/>
      <c r="G64" s="66"/>
      <c r="H64" s="66"/>
      <c r="I64" s="66"/>
    </row>
    <row r="65" spans="2:9" ht="17.45" hidden="1" thickBot="1">
      <c r="B65" s="78" t="s">
        <v>179</v>
      </c>
      <c r="C65" s="82">
        <v>5000</v>
      </c>
      <c r="D65" s="82">
        <v>10.4</v>
      </c>
      <c r="E65" s="22"/>
      <c r="F65" s="66"/>
      <c r="G65" s="66"/>
      <c r="H65" s="66"/>
      <c r="I65" s="66"/>
    </row>
    <row r="66" spans="2:9" hidden="1">
      <c r="B66" s="75" t="s">
        <v>180</v>
      </c>
      <c r="C66" s="22"/>
      <c r="D66" s="22"/>
      <c r="E66" s="22"/>
      <c r="F66" s="66"/>
      <c r="G66" s="66"/>
      <c r="H66" s="66"/>
      <c r="I66" s="66"/>
    </row>
    <row r="67" spans="2:9" hidden="1">
      <c r="B67" s="75" t="s">
        <v>181</v>
      </c>
      <c r="C67" s="22"/>
      <c r="D67" s="22"/>
      <c r="E67" s="22"/>
    </row>
    <row r="68" spans="2:9" hidden="1">
      <c r="B68" s="74">
        <v>2040</v>
      </c>
      <c r="C68" s="22"/>
      <c r="D68" s="22"/>
      <c r="E68" s="22"/>
    </row>
    <row r="69" spans="2:9" ht="17.45" hidden="1" thickBot="1">
      <c r="B69" s="75" t="s">
        <v>169</v>
      </c>
      <c r="C69" s="22"/>
      <c r="D69" s="22"/>
      <c r="E69" s="22"/>
    </row>
    <row r="70" spans="2:9" ht="17.45" hidden="1" thickBot="1">
      <c r="B70" s="76"/>
      <c r="C70" s="77" t="s">
        <v>144</v>
      </c>
      <c r="D70" s="77" t="s">
        <v>143</v>
      </c>
      <c r="E70" s="77" t="s">
        <v>170</v>
      </c>
    </row>
    <row r="71" spans="2:9" ht="17.45" hidden="1" thickBot="1">
      <c r="B71" s="78" t="s">
        <v>171</v>
      </c>
      <c r="C71" s="79">
        <v>0.4</v>
      </c>
      <c r="D71" s="79">
        <v>0.6</v>
      </c>
      <c r="E71" s="80"/>
    </row>
    <row r="72" spans="2:9" ht="17.45" hidden="1" thickBot="1">
      <c r="B72" s="78" t="s">
        <v>172</v>
      </c>
      <c r="C72" s="82">
        <v>2400</v>
      </c>
      <c r="D72" s="82">
        <v>1800</v>
      </c>
      <c r="E72" s="82">
        <v>2040</v>
      </c>
    </row>
    <row r="73" spans="2:9" ht="17.45" hidden="1" thickBot="1">
      <c r="B73" s="78" t="s">
        <v>173</v>
      </c>
      <c r="C73" s="82">
        <v>37.229999999999997</v>
      </c>
      <c r="D73" s="82">
        <v>55.85</v>
      </c>
      <c r="E73" s="82">
        <v>93.1</v>
      </c>
    </row>
    <row r="74" spans="2:9" ht="17.45" hidden="1" thickBot="1">
      <c r="B74" s="78" t="s">
        <v>174</v>
      </c>
      <c r="C74" s="84">
        <v>89</v>
      </c>
      <c r="D74" s="84">
        <v>100</v>
      </c>
      <c r="E74" s="82">
        <v>190</v>
      </c>
    </row>
    <row r="75" spans="2:9" ht="17.45" hidden="1" thickBot="1">
      <c r="B75" s="75" t="s">
        <v>175</v>
      </c>
      <c r="C75" s="22"/>
      <c r="D75" s="22"/>
      <c r="E75" s="22"/>
    </row>
    <row r="76" spans="2:9" ht="17.45" hidden="1" thickBot="1">
      <c r="B76" s="76"/>
      <c r="C76" s="83" t="s">
        <v>176</v>
      </c>
      <c r="D76" s="83" t="s">
        <v>177</v>
      </c>
      <c r="E76" s="22"/>
    </row>
    <row r="77" spans="2:9" ht="17.45" hidden="1" thickBot="1">
      <c r="B77" s="78" t="s">
        <v>178</v>
      </c>
      <c r="C77" s="82">
        <v>3500</v>
      </c>
      <c r="D77" s="82">
        <v>38</v>
      </c>
      <c r="E77" s="22"/>
    </row>
    <row r="78" spans="2:9" ht="17.45" hidden="1" thickBot="1">
      <c r="B78" s="78" t="s">
        <v>179</v>
      </c>
      <c r="C78" s="82">
        <v>5000</v>
      </c>
      <c r="D78" s="82">
        <v>26.6</v>
      </c>
      <c r="E78" s="22"/>
    </row>
    <row r="79" spans="2:9" hidden="1">
      <c r="B79" s="75" t="s">
        <v>182</v>
      </c>
      <c r="C79" s="22"/>
      <c r="D79" s="22"/>
      <c r="E79" s="22"/>
    </row>
    <row r="80" spans="2:9" hidden="1">
      <c r="B80" s="75" t="s">
        <v>183</v>
      </c>
      <c r="C80" s="22"/>
      <c r="D80" s="22"/>
      <c r="E80" s="22"/>
    </row>
    <row r="81" spans="1:11" hidden="1"/>
    <row r="82" spans="1:11" hidden="1"/>
    <row r="83" spans="1:11" hidden="1"/>
    <row r="84" spans="1:11" s="99" customFormat="1">
      <c r="A84" s="257" t="s">
        <v>184</v>
      </c>
      <c r="B84" s="257"/>
      <c r="C84" s="108"/>
      <c r="D84" s="108"/>
      <c r="E84" s="108"/>
      <c r="F84" s="108"/>
      <c r="G84" s="116"/>
      <c r="H84" s="108"/>
      <c r="I84" s="108"/>
      <c r="J84" s="108"/>
      <c r="K84" s="108"/>
    </row>
    <row r="85" spans="1:11">
      <c r="A85" s="280"/>
      <c r="B85" s="280"/>
      <c r="C85" s="301"/>
      <c r="D85" s="301"/>
      <c r="E85" s="301"/>
      <c r="F85" s="301"/>
      <c r="G85" s="302"/>
      <c r="H85" s="301"/>
      <c r="I85" s="301"/>
      <c r="J85" s="301"/>
      <c r="K85" s="301"/>
    </row>
    <row r="86" spans="1:11">
      <c r="A86" s="280"/>
      <c r="B86" s="281" t="s">
        <v>185</v>
      </c>
      <c r="C86" s="531" t="s">
        <v>129</v>
      </c>
      <c r="D86" s="531"/>
      <c r="E86" s="531"/>
      <c r="F86" s="531"/>
      <c r="G86" s="303"/>
      <c r="H86" s="531" t="s">
        <v>186</v>
      </c>
      <c r="I86" s="531"/>
      <c r="J86" s="531"/>
      <c r="K86" s="531"/>
    </row>
    <row r="87" spans="1:11">
      <c r="C87" s="44" t="s">
        <v>170</v>
      </c>
      <c r="D87" s="44" t="s">
        <v>147</v>
      </c>
      <c r="E87" s="44" t="s">
        <v>187</v>
      </c>
      <c r="F87" s="44" t="s">
        <v>150</v>
      </c>
      <c r="H87" s="44" t="s">
        <v>170</v>
      </c>
      <c r="I87" s="44" t="s">
        <v>147</v>
      </c>
      <c r="J87" s="44" t="s">
        <v>187</v>
      </c>
      <c r="K87" s="44" t="s">
        <v>150</v>
      </c>
    </row>
    <row r="88" spans="1:11">
      <c r="B88" s="22">
        <v>2019</v>
      </c>
      <c r="C88" s="305">
        <v>52.012599999999999</v>
      </c>
      <c r="D88" s="305">
        <v>40.608600000000003</v>
      </c>
      <c r="E88" s="305">
        <v>3.0720999999999998</v>
      </c>
      <c r="F88" s="305">
        <v>5.6295999999999999</v>
      </c>
      <c r="G88" s="305"/>
      <c r="H88" s="118">
        <f>C88*277.778</f>
        <v>14447.956002800001</v>
      </c>
      <c r="I88" s="118">
        <f t="shared" ref="I88:K88" si="23">D88*277.778</f>
        <v>11280.175690800001</v>
      </c>
      <c r="J88" s="118">
        <f t="shared" si="23"/>
        <v>853.36179379999999</v>
      </c>
      <c r="K88" s="118">
        <f t="shared" si="23"/>
        <v>1563.7790288000001</v>
      </c>
    </row>
    <row r="89" spans="1:11">
      <c r="C89" s="305">
        <v>52.012599999999999</v>
      </c>
      <c r="D89" s="305">
        <v>40.608600000000003</v>
      </c>
      <c r="E89" s="305">
        <v>3.0720999999999998</v>
      </c>
      <c r="F89" s="305">
        <v>5.6295999999999999</v>
      </c>
      <c r="G89" s="305"/>
      <c r="H89" s="118">
        <f>C89*277.778</f>
        <v>14447.956002800001</v>
      </c>
      <c r="I89" s="118">
        <f t="shared" ref="I89" si="24">D89*277.778</f>
        <v>11280.175690800001</v>
      </c>
      <c r="J89" s="118">
        <f t="shared" ref="J89" si="25">E89*277.778</f>
        <v>853.36179379999999</v>
      </c>
      <c r="K89" s="118">
        <f t="shared" ref="K89" si="26">F89*277.778</f>
        <v>1563.7790288000001</v>
      </c>
    </row>
    <row r="90" spans="1:11">
      <c r="C90" s="305"/>
      <c r="D90" s="305"/>
      <c r="E90" s="305"/>
      <c r="F90" s="305"/>
      <c r="G90" s="305"/>
      <c r="H90" s="118"/>
      <c r="I90" s="118"/>
      <c r="J90" s="306"/>
      <c r="K90" s="306"/>
    </row>
    <row r="91" spans="1:11">
      <c r="B91" s="22">
        <v>2030</v>
      </c>
      <c r="C91" s="305">
        <v>44.411499999999997</v>
      </c>
      <c r="D91" s="305">
        <v>25.9163</v>
      </c>
      <c r="E91" s="305">
        <v>9.1789000000000005</v>
      </c>
      <c r="F91" s="305">
        <v>6.7148000000000003</v>
      </c>
      <c r="G91" s="305"/>
      <c r="H91" s="118">
        <f>C91*277.778</f>
        <v>12336.537646999999</v>
      </c>
      <c r="I91" s="118">
        <f t="shared" ref="I91:I92" si="27">D91*277.778</f>
        <v>7198.9779814000003</v>
      </c>
      <c r="J91" s="118">
        <f t="shared" ref="J91:J92" si="28">E91*277.778</f>
        <v>2549.6964842000002</v>
      </c>
      <c r="K91" s="118">
        <f t="shared" ref="K91:K92" si="29">F91*277.778</f>
        <v>1865.2237144000003</v>
      </c>
    </row>
    <row r="92" spans="1:11">
      <c r="C92" s="305">
        <v>44.775500000000001</v>
      </c>
      <c r="D92" s="305">
        <v>26.761299999999999</v>
      </c>
      <c r="E92" s="305">
        <v>9.8436000000000003</v>
      </c>
      <c r="F92" s="305">
        <v>6.8632999999999997</v>
      </c>
      <c r="G92" s="305"/>
      <c r="H92" s="118">
        <f>C92*277.778</f>
        <v>12437.648839000001</v>
      </c>
      <c r="I92" s="118">
        <f t="shared" si="27"/>
        <v>7433.7003913999997</v>
      </c>
      <c r="J92" s="118">
        <f t="shared" si="28"/>
        <v>2734.3355208000003</v>
      </c>
      <c r="K92" s="118">
        <f t="shared" si="29"/>
        <v>1906.4737474000001</v>
      </c>
    </row>
    <row r="93" spans="1:11">
      <c r="C93" s="305"/>
      <c r="D93" s="305"/>
      <c r="E93" s="305"/>
      <c r="F93" s="305"/>
      <c r="G93" s="305"/>
      <c r="H93" s="118"/>
      <c r="I93" s="118"/>
      <c r="J93" s="306"/>
      <c r="K93" s="306"/>
    </row>
    <row r="94" spans="1:11">
      <c r="B94" s="22">
        <v>2040</v>
      </c>
      <c r="C94" s="305">
        <v>34.0456</v>
      </c>
      <c r="D94" s="305">
        <v>7.2477999999999998</v>
      </c>
      <c r="E94" s="305">
        <v>16.757899999999999</v>
      </c>
      <c r="F94" s="305">
        <v>7.0542999999999996</v>
      </c>
      <c r="G94" s="305"/>
      <c r="H94" s="118">
        <f>C94*277.778</f>
        <v>9457.1186768000007</v>
      </c>
      <c r="I94" s="118">
        <f t="shared" ref="I94:I95" si="30">D94*277.778</f>
        <v>2013.2793884</v>
      </c>
      <c r="J94" s="118">
        <f t="shared" ref="J94:J95" si="31">E94*277.778</f>
        <v>4654.9759462000002</v>
      </c>
      <c r="K94" s="118">
        <f t="shared" ref="K94:K95" si="32">F94*277.778</f>
        <v>1959.5293454</v>
      </c>
    </row>
    <row r="95" spans="1:11">
      <c r="C95" s="305">
        <v>35.155700000000003</v>
      </c>
      <c r="D95" s="305">
        <v>9.8011999999999997</v>
      </c>
      <c r="E95" s="305">
        <v>19.380600000000001</v>
      </c>
      <c r="F95" s="305">
        <v>7.0785</v>
      </c>
      <c r="G95" s="305"/>
      <c r="H95" s="118">
        <f>C95*277.778</f>
        <v>9765.4800346000011</v>
      </c>
      <c r="I95" s="118">
        <f t="shared" si="30"/>
        <v>2722.5577336000001</v>
      </c>
      <c r="J95" s="118">
        <f t="shared" si="31"/>
        <v>5383.5043068000004</v>
      </c>
      <c r="K95" s="118">
        <f t="shared" si="32"/>
        <v>1966.2515730000002</v>
      </c>
    </row>
    <row r="96" spans="1:11">
      <c r="C96" s="305"/>
      <c r="D96" s="305"/>
      <c r="E96" s="305"/>
      <c r="F96" s="305"/>
      <c r="G96" s="305"/>
      <c r="H96" s="118"/>
      <c r="I96" s="118"/>
      <c r="J96" s="306"/>
      <c r="K96" s="306"/>
    </row>
    <row r="97" spans="1:27">
      <c r="B97" s="22">
        <v>2050</v>
      </c>
      <c r="C97" s="305">
        <v>32.193600000000004</v>
      </c>
      <c r="D97" s="305">
        <v>2.4944000000000002</v>
      </c>
      <c r="E97" s="305">
        <v>20.286000000000001</v>
      </c>
      <c r="F97" s="305">
        <v>7.4622000000000002</v>
      </c>
      <c r="G97" s="305"/>
      <c r="H97" s="118">
        <f>C97*277.778</f>
        <v>8942.6738208000024</v>
      </c>
      <c r="I97" s="118">
        <f t="shared" ref="I97:I98" si="33">D97*277.778</f>
        <v>692.88944320000007</v>
      </c>
      <c r="J97" s="118">
        <f t="shared" ref="J97:J98" si="34">E97*277.778</f>
        <v>5635.0045080000009</v>
      </c>
      <c r="K97" s="118">
        <f t="shared" ref="K97:K98" si="35">F97*277.778</f>
        <v>2072.8349916000002</v>
      </c>
    </row>
    <row r="98" spans="1:27">
      <c r="C98" s="305">
        <v>35.540300000000002</v>
      </c>
      <c r="D98" s="305">
        <v>3.9174000000000002</v>
      </c>
      <c r="E98" s="305">
        <v>24.852399999999999</v>
      </c>
      <c r="F98" s="305">
        <v>7.4884000000000004</v>
      </c>
      <c r="G98" s="305"/>
      <c r="H98" s="118">
        <f>C98*277.778</f>
        <v>9872.3134534000019</v>
      </c>
      <c r="I98" s="118">
        <f t="shared" si="33"/>
        <v>1088.1675372000002</v>
      </c>
      <c r="J98" s="118">
        <f t="shared" si="34"/>
        <v>6903.4499672000002</v>
      </c>
      <c r="K98" s="118">
        <f t="shared" si="35"/>
        <v>2080.1127752000002</v>
      </c>
    </row>
    <row r="100" spans="1:27" s="111" customFormat="1">
      <c r="A100" s="113" t="s">
        <v>188</v>
      </c>
      <c r="B100" s="113"/>
      <c r="C100" s="112"/>
      <c r="D100" s="112"/>
      <c r="E100" s="112"/>
      <c r="F100" s="112"/>
      <c r="G100" s="112"/>
      <c r="H100" s="112"/>
      <c r="I100" s="112"/>
    </row>
    <row r="102" spans="1:27">
      <c r="B102" s="100" t="s">
        <v>189</v>
      </c>
      <c r="C102"/>
      <c r="D102"/>
      <c r="E102"/>
      <c r="F102"/>
      <c r="G102"/>
      <c r="H102"/>
      <c r="I102"/>
      <c r="J102"/>
      <c r="K102"/>
      <c r="L102"/>
      <c r="M102"/>
      <c r="N102"/>
      <c r="O102"/>
      <c r="P102"/>
      <c r="Q102"/>
      <c r="R102"/>
      <c r="S102"/>
      <c r="T102"/>
      <c r="U102"/>
      <c r="V102"/>
      <c r="W102"/>
      <c r="X102"/>
      <c r="Y102"/>
      <c r="Z102"/>
      <c r="AA102"/>
    </row>
    <row r="103" spans="1:27">
      <c r="B103"/>
      <c r="C103"/>
      <c r="D103"/>
      <c r="E103"/>
      <c r="F103"/>
      <c r="G103"/>
      <c r="H103"/>
      <c r="I103"/>
      <c r="J103"/>
      <c r="K103"/>
      <c r="L103"/>
      <c r="M103"/>
      <c r="N103"/>
      <c r="O103"/>
      <c r="P103"/>
      <c r="Q103"/>
      <c r="R103"/>
      <c r="S103" s="530" t="s">
        <v>190</v>
      </c>
      <c r="T103" s="530"/>
      <c r="U103" s="530"/>
      <c r="V103" s="530"/>
      <c r="W103"/>
      <c r="X103" s="530" t="s">
        <v>186</v>
      </c>
      <c r="Y103" s="530"/>
      <c r="Z103" s="530"/>
      <c r="AA103" s="530"/>
    </row>
    <row r="104" spans="1:27" ht="50.45">
      <c r="B104"/>
      <c r="C104"/>
      <c r="D104" s="307" t="s">
        <v>150</v>
      </c>
      <c r="E104" s="307" t="s">
        <v>83</v>
      </c>
      <c r="F104" s="307" t="s">
        <v>191</v>
      </c>
      <c r="G104" s="307" t="s">
        <v>192</v>
      </c>
      <c r="H104" s="307" t="s">
        <v>86</v>
      </c>
      <c r="I104" s="307" t="s">
        <v>193</v>
      </c>
      <c r="J104" s="307" t="s">
        <v>194</v>
      </c>
      <c r="K104" s="307" t="s">
        <v>141</v>
      </c>
      <c r="L104" s="307" t="s">
        <v>195</v>
      </c>
      <c r="M104" s="307" t="s">
        <v>196</v>
      </c>
      <c r="N104" s="307" t="s">
        <v>139</v>
      </c>
      <c r="O104" s="307" t="s">
        <v>144</v>
      </c>
      <c r="P104"/>
      <c r="Q104"/>
      <c r="R104"/>
      <c r="S104" s="198" t="s">
        <v>170</v>
      </c>
      <c r="T104" s="294" t="s">
        <v>147</v>
      </c>
      <c r="U104" s="294" t="s">
        <v>197</v>
      </c>
      <c r="V104" s="294" t="s">
        <v>150</v>
      </c>
      <c r="W104"/>
      <c r="X104" s="198" t="s">
        <v>170</v>
      </c>
      <c r="Y104" s="294" t="s">
        <v>147</v>
      </c>
      <c r="Z104" s="294" t="s">
        <v>197</v>
      </c>
      <c r="AA104" s="294" t="s">
        <v>150</v>
      </c>
    </row>
    <row r="105" spans="1:27">
      <c r="B105" s="180">
        <v>2015</v>
      </c>
      <c r="C105" s="180"/>
      <c r="D105" s="308">
        <v>140.03208000000004</v>
      </c>
      <c r="E105" s="308">
        <v>531.85626200000002</v>
      </c>
      <c r="F105" s="308">
        <v>6.5023109999999997</v>
      </c>
      <c r="G105" s="308">
        <v>28.889782999999998</v>
      </c>
      <c r="H105" s="308">
        <v>0</v>
      </c>
      <c r="I105" s="308">
        <v>296.08202599999998</v>
      </c>
      <c r="J105" s="308">
        <v>-0.57395600000000002</v>
      </c>
      <c r="K105" s="308">
        <v>203.78165100000001</v>
      </c>
      <c r="L105" s="308">
        <v>1.0408269999999999</v>
      </c>
      <c r="M105" s="308">
        <v>12.484818000000001</v>
      </c>
      <c r="N105" s="308">
        <v>239.60394699999998</v>
      </c>
      <c r="O105" s="308">
        <v>22.631532</v>
      </c>
      <c r="P105" s="295"/>
      <c r="Q105" s="196">
        <f>H105*11.63</f>
        <v>0</v>
      </c>
      <c r="R105" s="295"/>
      <c r="S105" s="35">
        <f>SUM(D105:O105)</f>
        <v>1482.3312810000002</v>
      </c>
      <c r="T105" s="35">
        <f>E105+I105+N105</f>
        <v>1067.5422350000001</v>
      </c>
      <c r="U105" s="35">
        <f t="shared" ref="U105:U110" si="36">G105+M105+O105</f>
        <v>64.006133000000005</v>
      </c>
      <c r="V105" s="35">
        <f>D105</f>
        <v>140.03208000000004</v>
      </c>
      <c r="W105"/>
      <c r="X105" s="43">
        <f>S105*11.63</f>
        <v>17239.512798030002</v>
      </c>
      <c r="Y105" s="43">
        <f t="shared" ref="Y105:Z115" si="37">T105*11.63</f>
        <v>12415.516193050002</v>
      </c>
      <c r="Z105" s="43">
        <f>U105*11.63</f>
        <v>744.39132679000011</v>
      </c>
      <c r="AA105" s="43">
        <f t="shared" ref="AA105:AA115" si="38">V105*11.63</f>
        <v>1628.5730904000006</v>
      </c>
    </row>
    <row r="106" spans="1:27">
      <c r="B106" s="180">
        <v>2019</v>
      </c>
      <c r="C106" s="180"/>
      <c r="D106" s="308">
        <v>151.520039</v>
      </c>
      <c r="E106" s="308">
        <v>545.12747899999999</v>
      </c>
      <c r="F106" s="308">
        <v>6.8981890000000003</v>
      </c>
      <c r="G106" s="308">
        <v>27.537362000000002</v>
      </c>
      <c r="H106" s="308">
        <v>0</v>
      </c>
      <c r="I106" s="308">
        <v>335.20011399999999</v>
      </c>
      <c r="J106" s="308">
        <v>0.25320100000000001</v>
      </c>
      <c r="K106" s="308">
        <v>196.18092100000001</v>
      </c>
      <c r="L106" s="308">
        <v>1.1336839999999999</v>
      </c>
      <c r="M106" s="308">
        <v>14.812004999999999</v>
      </c>
      <c r="N106" s="308">
        <v>177.345528</v>
      </c>
      <c r="O106" s="308">
        <v>31.566451000000001</v>
      </c>
      <c r="P106" s="295"/>
      <c r="Q106" s="196">
        <f t="shared" ref="Q106:Q114" si="39">H106*11.63</f>
        <v>0</v>
      </c>
      <c r="R106" s="295"/>
      <c r="S106" s="35">
        <f t="shared" ref="S106:S115" si="40">SUM(D106:O106)</f>
        <v>1487.574973</v>
      </c>
      <c r="T106" s="35">
        <f>E106+I106+N106</f>
        <v>1057.673121</v>
      </c>
      <c r="U106" s="35">
        <f t="shared" si="36"/>
        <v>73.915818000000002</v>
      </c>
      <c r="V106" s="35">
        <f t="shared" ref="V106:V115" si="41">D106</f>
        <v>151.520039</v>
      </c>
      <c r="W106"/>
      <c r="X106" s="298">
        <f t="shared" ref="X106:X115" si="42">S106*11.63</f>
        <v>17300.496935990002</v>
      </c>
      <c r="Y106" s="298">
        <f t="shared" si="37"/>
        <v>12300.738397230001</v>
      </c>
      <c r="Z106" s="298">
        <f>U106*11.63</f>
        <v>859.6409633400001</v>
      </c>
      <c r="AA106" s="43">
        <f t="shared" si="38"/>
        <v>1762.17805357</v>
      </c>
    </row>
    <row r="107" spans="1:27">
      <c r="B107" s="180">
        <v>2030</v>
      </c>
      <c r="C107" s="180"/>
      <c r="D107" s="308">
        <v>145.48743050593501</v>
      </c>
      <c r="E107" s="308">
        <v>415.85888217024512</v>
      </c>
      <c r="F107" s="308">
        <v>14.44905518896301</v>
      </c>
      <c r="G107" s="308">
        <v>31.84781842551142</v>
      </c>
      <c r="H107" s="308">
        <v>0.13758499313062511</v>
      </c>
      <c r="I107" s="308">
        <v>157.80888904207171</v>
      </c>
      <c r="J107" s="308">
        <v>-1.6347985298439109</v>
      </c>
      <c r="K107" s="308">
        <v>138.81186753497539</v>
      </c>
      <c r="L107" s="308">
        <v>0.37731977083107132</v>
      </c>
      <c r="M107" s="308">
        <v>63.213970042168441</v>
      </c>
      <c r="N107" s="308">
        <v>89.655547469523285</v>
      </c>
      <c r="O107" s="308">
        <v>104.452980393144</v>
      </c>
      <c r="P107" s="295"/>
      <c r="Q107" s="196">
        <f t="shared" si="39"/>
        <v>1.6001134701091702</v>
      </c>
      <c r="R107" s="295"/>
      <c r="S107" s="35">
        <f t="shared" si="40"/>
        <v>1160.4665470066548</v>
      </c>
      <c r="T107" s="35">
        <f t="shared" ref="T107:T115" si="43">E107+I107+N107</f>
        <v>663.32331868184019</v>
      </c>
      <c r="U107" s="35">
        <f t="shared" si="36"/>
        <v>199.51476886082386</v>
      </c>
      <c r="V107" s="35">
        <f t="shared" si="41"/>
        <v>145.48743050593501</v>
      </c>
      <c r="W107"/>
      <c r="X107" s="298">
        <f>S107*11.63</f>
        <v>13496.225941687397</v>
      </c>
      <c r="Y107" s="298">
        <f t="shared" si="37"/>
        <v>7714.4501962698023</v>
      </c>
      <c r="Z107" s="298">
        <f t="shared" si="37"/>
        <v>2320.3567618513816</v>
      </c>
      <c r="AA107" s="43">
        <f t="shared" si="38"/>
        <v>1692.0188167840242</v>
      </c>
    </row>
    <row r="108" spans="1:27">
      <c r="B108" s="180">
        <v>2040</v>
      </c>
      <c r="C108" s="180" t="s">
        <v>198</v>
      </c>
      <c r="D108" s="308">
        <v>186.26759759737001</v>
      </c>
      <c r="E108" s="308">
        <v>214.94803294417781</v>
      </c>
      <c r="F108" s="308">
        <v>21.425851767529529</v>
      </c>
      <c r="G108" s="308">
        <v>36.31222515050991</v>
      </c>
      <c r="H108" s="308">
        <v>1.291734064835252</v>
      </c>
      <c r="I108" s="308">
        <v>144.76125018150421</v>
      </c>
      <c r="J108" s="308">
        <v>-0.29844258489293912</v>
      </c>
      <c r="K108" s="308">
        <v>128.67837578375571</v>
      </c>
      <c r="L108" s="308">
        <v>0.92809125310256213</v>
      </c>
      <c r="M108" s="308">
        <v>104.62055062604119</v>
      </c>
      <c r="N108" s="308">
        <v>15.57399884930533</v>
      </c>
      <c r="O108" s="308">
        <v>167.75113802054969</v>
      </c>
      <c r="P108" s="295"/>
      <c r="Q108" s="196">
        <f t="shared" si="39"/>
        <v>15.022867174033982</v>
      </c>
      <c r="R108" s="295"/>
      <c r="S108" s="35">
        <f t="shared" si="40"/>
        <v>1022.2604036537882</v>
      </c>
      <c r="T108" s="35">
        <f t="shared" si="43"/>
        <v>375.28328197498735</v>
      </c>
      <c r="U108" s="35">
        <f t="shared" si="36"/>
        <v>308.68391379710079</v>
      </c>
      <c r="V108" s="35">
        <f t="shared" si="41"/>
        <v>186.26759759737001</v>
      </c>
      <c r="W108"/>
      <c r="X108" s="43">
        <f t="shared" si="42"/>
        <v>11888.888494493558</v>
      </c>
      <c r="Y108" s="43">
        <f t="shared" si="37"/>
        <v>4364.5445693691036</v>
      </c>
      <c r="Z108" s="43">
        <f t="shared" si="37"/>
        <v>3589.9939174602823</v>
      </c>
      <c r="AA108" s="43">
        <f t="shared" si="38"/>
        <v>2166.2921600574132</v>
      </c>
    </row>
    <row r="109" spans="1:27">
      <c r="B109"/>
      <c r="C109" s="180" t="s">
        <v>199</v>
      </c>
      <c r="D109" s="35">
        <v>209.26187140715089</v>
      </c>
      <c r="E109" s="35">
        <v>196.56188750400801</v>
      </c>
      <c r="F109" s="35">
        <v>21.474755983377271</v>
      </c>
      <c r="G109" s="35">
        <v>36.327763705494931</v>
      </c>
      <c r="H109" s="35">
        <v>1.2917340648352389</v>
      </c>
      <c r="I109" s="35">
        <v>106.4502953139214</v>
      </c>
      <c r="J109" s="35">
        <v>0.26842445383271818</v>
      </c>
      <c r="K109" s="35">
        <v>129.08485550205921</v>
      </c>
      <c r="L109" s="35">
        <v>0.86322085130170467</v>
      </c>
      <c r="M109" s="35">
        <v>112.5057557446581</v>
      </c>
      <c r="N109" s="35">
        <v>7.9835430336464306</v>
      </c>
      <c r="O109" s="35">
        <v>198.99828686065561</v>
      </c>
      <c r="P109" s="295"/>
      <c r="Q109" s="196">
        <f t="shared" si="39"/>
        <v>15.022867174033829</v>
      </c>
      <c r="R109" s="295"/>
      <c r="S109" s="35">
        <f t="shared" si="40"/>
        <v>1021.0723944249415</v>
      </c>
      <c r="T109" s="35">
        <f>E109+I109+N109</f>
        <v>310.99572585157586</v>
      </c>
      <c r="U109" s="35">
        <f t="shared" si="36"/>
        <v>347.83180631080864</v>
      </c>
      <c r="V109" s="35">
        <f t="shared" si="41"/>
        <v>209.26187140715089</v>
      </c>
      <c r="W109"/>
      <c r="X109" s="43">
        <f t="shared" si="42"/>
        <v>11875.071947162071</v>
      </c>
      <c r="Y109" s="43">
        <f t="shared" si="37"/>
        <v>3616.8802916538275</v>
      </c>
      <c r="Z109" s="43">
        <f t="shared" si="37"/>
        <v>4045.2839073947048</v>
      </c>
      <c r="AA109" s="43">
        <f t="shared" si="38"/>
        <v>2433.7155644651652</v>
      </c>
    </row>
    <row r="110" spans="1:27">
      <c r="B110"/>
      <c r="C110" s="180" t="s">
        <v>200</v>
      </c>
      <c r="D110" s="35">
        <v>208.92303216718369</v>
      </c>
      <c r="E110" s="35">
        <v>186.6049301400972</v>
      </c>
      <c r="F110" s="35">
        <v>22.644498620118181</v>
      </c>
      <c r="G110" s="35">
        <v>36.34998572731633</v>
      </c>
      <c r="H110" s="35">
        <v>1.291734064835163</v>
      </c>
      <c r="I110" s="35">
        <v>82.75842905584058</v>
      </c>
      <c r="J110" s="35">
        <v>1.0665430705111241</v>
      </c>
      <c r="K110" s="35">
        <v>129.08485469210379</v>
      </c>
      <c r="L110" s="35">
        <v>0.85176470927139436</v>
      </c>
      <c r="M110" s="35">
        <v>119.7320981926942</v>
      </c>
      <c r="N110" s="35">
        <v>6.0237889037477634</v>
      </c>
      <c r="O110" s="35">
        <v>223.0540973474279</v>
      </c>
      <c r="P110" s="295"/>
      <c r="Q110" s="196">
        <f>H110*11.63</f>
        <v>15.022867174032946</v>
      </c>
      <c r="R110" s="295"/>
      <c r="S110" s="35">
        <f t="shared" si="40"/>
        <v>1018.3857566911472</v>
      </c>
      <c r="T110" s="35">
        <f>E110+I110+N110</f>
        <v>275.38714809968553</v>
      </c>
      <c r="U110" s="35">
        <f t="shared" si="36"/>
        <v>379.13618126743842</v>
      </c>
      <c r="V110" s="35">
        <f t="shared" si="41"/>
        <v>208.92303216718369</v>
      </c>
      <c r="W110"/>
      <c r="X110" s="298">
        <f t="shared" si="42"/>
        <v>11843.826350318042</v>
      </c>
      <c r="Y110" s="298">
        <f t="shared" si="37"/>
        <v>3202.7525323993432</v>
      </c>
      <c r="Z110" s="298">
        <f t="shared" si="37"/>
        <v>4409.353788140309</v>
      </c>
      <c r="AA110" s="43">
        <f t="shared" si="38"/>
        <v>2429.7748641043463</v>
      </c>
    </row>
    <row r="111" spans="1:27">
      <c r="B111" s="296"/>
      <c r="C111" s="180" t="s">
        <v>201</v>
      </c>
      <c r="D111" s="35">
        <v>205.97973612417559</v>
      </c>
      <c r="E111" s="35">
        <v>184.37991178146649</v>
      </c>
      <c r="F111" s="35">
        <v>21.353914104518271</v>
      </c>
      <c r="G111" s="35">
        <v>36.334579184876063</v>
      </c>
      <c r="H111" s="35">
        <v>1.2917340648351969</v>
      </c>
      <c r="I111" s="35">
        <v>101.5795658728604</v>
      </c>
      <c r="J111" s="35">
        <v>1.5406683795441829</v>
      </c>
      <c r="K111" s="35">
        <v>129.08506255210509</v>
      </c>
      <c r="L111" s="35">
        <v>0.85452395790096236</v>
      </c>
      <c r="M111" s="35">
        <v>112.3052414867736</v>
      </c>
      <c r="N111" s="35">
        <v>6.8877015695970067</v>
      </c>
      <c r="O111" s="35">
        <v>192.43692329290269</v>
      </c>
      <c r="P111" s="295"/>
      <c r="Q111" s="196">
        <f t="shared" si="39"/>
        <v>15.022867174033342</v>
      </c>
      <c r="R111" s="295"/>
      <c r="S111" s="35">
        <f t="shared" si="40"/>
        <v>994.02956237155558</v>
      </c>
      <c r="T111" s="35">
        <f>E111+I111+N111</f>
        <v>292.84717922392389</v>
      </c>
      <c r="U111" s="35">
        <f t="shared" ref="U111:U115" si="44">G111+M111+O111</f>
        <v>341.07674396455235</v>
      </c>
      <c r="V111" s="35">
        <f t="shared" si="41"/>
        <v>205.97973612417559</v>
      </c>
      <c r="W111"/>
      <c r="X111" s="43">
        <f t="shared" si="42"/>
        <v>11560.563810381193</v>
      </c>
      <c r="Y111" s="43">
        <f t="shared" si="37"/>
        <v>3405.812694374235</v>
      </c>
      <c r="Z111" s="43">
        <f t="shared" si="37"/>
        <v>3966.7225323077441</v>
      </c>
      <c r="AA111" s="43">
        <f t="shared" si="38"/>
        <v>2395.5443311241625</v>
      </c>
    </row>
    <row r="112" spans="1:27">
      <c r="B112">
        <v>2050</v>
      </c>
      <c r="C112" s="180" t="s">
        <v>198</v>
      </c>
      <c r="D112" s="35">
        <v>195.02515542739229</v>
      </c>
      <c r="E112" s="35">
        <v>104.89949932310169</v>
      </c>
      <c r="F112" s="35">
        <v>26.07115622103202</v>
      </c>
      <c r="G112" s="35">
        <v>37.621713485434071</v>
      </c>
      <c r="H112" s="35">
        <v>3.57084917632233</v>
      </c>
      <c r="I112" s="35">
        <v>47.894032710423197</v>
      </c>
      <c r="J112" s="35">
        <v>-1.0399369425263121</v>
      </c>
      <c r="K112" s="35">
        <v>141.14664935010131</v>
      </c>
      <c r="L112" s="35">
        <v>2.9801108090337611</v>
      </c>
      <c r="M112" s="35">
        <v>159.49653986972581</v>
      </c>
      <c r="N112" s="35">
        <v>2.8849491858631371</v>
      </c>
      <c r="O112" s="35">
        <v>316.03983257529939</v>
      </c>
      <c r="P112" s="295"/>
      <c r="Q112" s="196">
        <f t="shared" si="39"/>
        <v>41.528975920628703</v>
      </c>
      <c r="R112" s="295"/>
      <c r="S112" s="35">
        <f t="shared" si="40"/>
        <v>1036.5905511912026</v>
      </c>
      <c r="T112" s="35">
        <f t="shared" si="43"/>
        <v>155.67848121938803</v>
      </c>
      <c r="U112" s="35">
        <f t="shared" si="44"/>
        <v>513.15808593045927</v>
      </c>
      <c r="V112" s="35">
        <f t="shared" si="41"/>
        <v>195.02515542739229</v>
      </c>
      <c r="W112"/>
      <c r="X112" s="43">
        <f t="shared" si="42"/>
        <v>12055.548110353688</v>
      </c>
      <c r="Y112" s="43">
        <f t="shared" si="37"/>
        <v>1810.5407365814829</v>
      </c>
      <c r="Z112" s="43">
        <f t="shared" si="37"/>
        <v>5968.028539371242</v>
      </c>
      <c r="AA112" s="43">
        <f t="shared" si="38"/>
        <v>2268.1425576205725</v>
      </c>
    </row>
    <row r="113" spans="2:27">
      <c r="B113"/>
      <c r="C113" s="180" t="s">
        <v>199</v>
      </c>
      <c r="D113" s="35">
        <v>190.21383906231529</v>
      </c>
      <c r="E113" s="35">
        <v>102.1953957879027</v>
      </c>
      <c r="F113" s="35">
        <v>26.228593685301171</v>
      </c>
      <c r="G113" s="35">
        <v>37.60044335389312</v>
      </c>
      <c r="H113" s="35">
        <v>3.57084917632233</v>
      </c>
      <c r="I113" s="35">
        <v>50.38235814020311</v>
      </c>
      <c r="J113" s="35">
        <v>-1.2301482587406689</v>
      </c>
      <c r="K113" s="35">
        <v>141.8725034915422</v>
      </c>
      <c r="L113" s="35">
        <v>2.9782252710757651</v>
      </c>
      <c r="M113" s="35">
        <v>159.11847236988999</v>
      </c>
      <c r="N113" s="35">
        <v>2.8993781831687908</v>
      </c>
      <c r="O113" s="35">
        <v>315.90536423015112</v>
      </c>
      <c r="P113" s="295"/>
      <c r="Q113" s="196">
        <f t="shared" si="39"/>
        <v>41.528975920628703</v>
      </c>
      <c r="R113" s="295"/>
      <c r="S113" s="35">
        <f t="shared" si="40"/>
        <v>1031.7352744930249</v>
      </c>
      <c r="T113" s="35">
        <f t="shared" si="43"/>
        <v>155.47713211127459</v>
      </c>
      <c r="U113" s="35">
        <f t="shared" si="44"/>
        <v>512.62427995393421</v>
      </c>
      <c r="V113" s="35">
        <f t="shared" si="41"/>
        <v>190.21383906231529</v>
      </c>
      <c r="W113"/>
      <c r="X113" s="43">
        <f t="shared" si="42"/>
        <v>11999.081242353881</v>
      </c>
      <c r="Y113" s="43">
        <f t="shared" si="37"/>
        <v>1808.1990464541236</v>
      </c>
      <c r="Z113" s="43">
        <f t="shared" si="37"/>
        <v>5961.8203758642549</v>
      </c>
      <c r="AA113" s="43">
        <f t="shared" si="38"/>
        <v>2212.1869482947268</v>
      </c>
    </row>
    <row r="114" spans="2:27">
      <c r="B114"/>
      <c r="C114" s="180" t="s">
        <v>200</v>
      </c>
      <c r="D114" s="35">
        <v>185.40698801372031</v>
      </c>
      <c r="E114" s="35">
        <v>102.1624470676598</v>
      </c>
      <c r="F114" s="35">
        <v>27.335056437127712</v>
      </c>
      <c r="G114" s="35">
        <v>37.579274979645852</v>
      </c>
      <c r="H114" s="35">
        <v>3.5708491763220982</v>
      </c>
      <c r="I114" s="35">
        <v>45.26458745156485</v>
      </c>
      <c r="J114" s="35">
        <v>-1.4864684085303159</v>
      </c>
      <c r="K114" s="35">
        <v>142.18792544557999</v>
      </c>
      <c r="L114" s="35">
        <v>2.9775441062211438</v>
      </c>
      <c r="M114" s="35">
        <v>158.69832278417479</v>
      </c>
      <c r="N114" s="35">
        <v>2.9129824642370599</v>
      </c>
      <c r="O114" s="35">
        <v>312.70014760427489</v>
      </c>
      <c r="P114" s="295"/>
      <c r="Q114" s="196">
        <f t="shared" si="39"/>
        <v>41.528975920626003</v>
      </c>
      <c r="R114" s="295"/>
      <c r="S114" s="35">
        <f t="shared" si="40"/>
        <v>1019.3096571219982</v>
      </c>
      <c r="T114" s="35">
        <f t="shared" si="43"/>
        <v>150.34001698346171</v>
      </c>
      <c r="U114" s="35">
        <f t="shared" si="44"/>
        <v>508.9777453680955</v>
      </c>
      <c r="V114" s="35">
        <f t="shared" si="41"/>
        <v>185.40698801372031</v>
      </c>
      <c r="W114"/>
      <c r="X114" s="298">
        <f t="shared" si="42"/>
        <v>11854.571312328839</v>
      </c>
      <c r="Y114" s="298">
        <f t="shared" si="37"/>
        <v>1748.4543975176598</v>
      </c>
      <c r="Z114" s="298">
        <f t="shared" si="37"/>
        <v>5919.4111786309513</v>
      </c>
      <c r="AA114" s="43">
        <f t="shared" si="38"/>
        <v>2156.2832705995675</v>
      </c>
    </row>
    <row r="115" spans="2:27">
      <c r="B115" s="296"/>
      <c r="C115" s="180" t="s">
        <v>201</v>
      </c>
      <c r="D115" s="35">
        <v>179.7396233990963</v>
      </c>
      <c r="E115" s="35">
        <v>93.794900859915785</v>
      </c>
      <c r="F115" s="35">
        <v>25.903399792475241</v>
      </c>
      <c r="G115" s="35">
        <v>37.592750977077777</v>
      </c>
      <c r="H115" s="35">
        <v>3.5708491763223962</v>
      </c>
      <c r="I115" s="35">
        <v>52.77138595582467</v>
      </c>
      <c r="J115" s="35">
        <v>-3.7044956706593739</v>
      </c>
      <c r="K115" s="35">
        <v>145.51739486536371</v>
      </c>
      <c r="L115" s="35">
        <v>2.9743905854411161</v>
      </c>
      <c r="M115" s="35">
        <v>147.21488360963039</v>
      </c>
      <c r="N115" s="35">
        <v>2.485100308200427</v>
      </c>
      <c r="O115" s="35">
        <v>278.24165943129378</v>
      </c>
      <c r="P115" s="295"/>
      <c r="Q115" s="196">
        <f>H115*11.63</f>
        <v>41.52897592062947</v>
      </c>
      <c r="R115" s="295"/>
      <c r="S115" s="35">
        <f t="shared" si="40"/>
        <v>966.1018432899823</v>
      </c>
      <c r="T115" s="35">
        <f t="shared" si="43"/>
        <v>149.05138712394088</v>
      </c>
      <c r="U115" s="35">
        <f t="shared" si="44"/>
        <v>463.04929401800194</v>
      </c>
      <c r="V115" s="35">
        <f t="shared" si="41"/>
        <v>179.7396233990963</v>
      </c>
      <c r="W115"/>
      <c r="X115" s="43">
        <f t="shared" si="42"/>
        <v>11235.764437462494</v>
      </c>
      <c r="Y115" s="43">
        <f t="shared" si="37"/>
        <v>1733.4676322514326</v>
      </c>
      <c r="Z115" s="43">
        <f t="shared" si="37"/>
        <v>5385.2632894293629</v>
      </c>
      <c r="AA115" s="43">
        <f t="shared" si="38"/>
        <v>2090.37182013149</v>
      </c>
    </row>
    <row r="116" spans="2:27">
      <c r="B116"/>
      <c r="C116"/>
      <c r="D116"/>
      <c r="E116"/>
      <c r="F116"/>
      <c r="G116"/>
      <c r="H116"/>
      <c r="I116"/>
      <c r="J116"/>
      <c r="K116"/>
      <c r="L116"/>
      <c r="M116"/>
      <c r="N116"/>
      <c r="O116"/>
      <c r="P116"/>
      <c r="Q116"/>
      <c r="R116"/>
      <c r="S116"/>
      <c r="T116"/>
      <c r="U116"/>
      <c r="V116"/>
      <c r="W116"/>
      <c r="X116"/>
      <c r="Y116"/>
      <c r="Z116"/>
      <c r="AA116"/>
    </row>
    <row r="117" spans="2:27">
      <c r="B117" s="134" t="s">
        <v>202</v>
      </c>
      <c r="C117"/>
      <c r="D117" s="141"/>
      <c r="E117" s="141"/>
      <c r="F117" s="141"/>
      <c r="G117" s="141"/>
      <c r="H117" s="141"/>
      <c r="I117" s="141"/>
      <c r="J117" s="141"/>
      <c r="K117" s="141"/>
      <c r="L117" s="141"/>
      <c r="M117" s="141"/>
      <c r="N117" s="141"/>
      <c r="O117" s="141"/>
      <c r="P117"/>
      <c r="Q117"/>
      <c r="R117"/>
      <c r="S117"/>
      <c r="T117"/>
      <c r="U117"/>
      <c r="V117"/>
      <c r="W117"/>
      <c r="X117"/>
      <c r="Y117"/>
      <c r="Z117"/>
      <c r="AA117"/>
    </row>
    <row r="118" spans="2:27">
      <c r="B118" s="349" t="s">
        <v>203</v>
      </c>
      <c r="C118"/>
      <c r="D118" s="141"/>
      <c r="E118" s="141"/>
      <c r="F118"/>
      <c r="G118"/>
      <c r="H118"/>
      <c r="I118"/>
      <c r="J118"/>
      <c r="K118"/>
      <c r="L118"/>
      <c r="M118"/>
      <c r="N118"/>
      <c r="O118"/>
      <c r="P118"/>
      <c r="Q118"/>
      <c r="R118"/>
      <c r="S118"/>
      <c r="T118"/>
      <c r="U118"/>
      <c r="V118"/>
      <c r="W118"/>
      <c r="X118"/>
      <c r="Y118"/>
      <c r="Z118"/>
      <c r="AA118"/>
    </row>
    <row r="119" spans="2:27">
      <c r="B119" s="106" t="s">
        <v>204</v>
      </c>
      <c r="C119"/>
      <c r="D119" s="141"/>
      <c r="E119" s="141"/>
      <c r="F119"/>
      <c r="G119"/>
      <c r="H119"/>
      <c r="I119"/>
      <c r="J119"/>
      <c r="K119"/>
      <c r="L119"/>
      <c r="M119"/>
      <c r="N119"/>
      <c r="O119"/>
      <c r="P119"/>
      <c r="Q119"/>
      <c r="R119"/>
      <c r="S119"/>
      <c r="T119"/>
      <c r="U119"/>
      <c r="V119"/>
      <c r="W119"/>
      <c r="X119"/>
      <c r="Y119"/>
      <c r="Z119"/>
      <c r="AA119"/>
    </row>
    <row r="120" spans="2:27">
      <c r="B120"/>
      <c r="C120"/>
      <c r="D120" s="141"/>
      <c r="E120" s="297"/>
      <c r="F120"/>
      <c r="G120"/>
      <c r="H120"/>
      <c r="I120"/>
      <c r="J120"/>
      <c r="K120"/>
      <c r="L120"/>
      <c r="M120"/>
      <c r="N120"/>
      <c r="O120"/>
      <c r="P120"/>
      <c r="Q120"/>
      <c r="R120"/>
      <c r="S120"/>
      <c r="T120"/>
      <c r="U120"/>
      <c r="V120"/>
      <c r="W120"/>
      <c r="X120"/>
      <c r="Y120"/>
      <c r="Z120"/>
      <c r="AA120"/>
    </row>
    <row r="121" spans="2:27">
      <c r="B121"/>
      <c r="C121"/>
      <c r="D121" s="141"/>
      <c r="E121"/>
      <c r="F121"/>
      <c r="G121"/>
      <c r="H121"/>
      <c r="I121"/>
      <c r="J121"/>
      <c r="K121"/>
      <c r="L121"/>
      <c r="M121"/>
      <c r="N121"/>
      <c r="O121"/>
      <c r="P121"/>
      <c r="Q121"/>
      <c r="R121"/>
      <c r="S121"/>
      <c r="T121"/>
      <c r="U121"/>
      <c r="V121"/>
      <c r="W121"/>
      <c r="X121"/>
      <c r="Y121"/>
      <c r="Z121"/>
      <c r="AA121"/>
    </row>
    <row r="122" spans="2:27">
      <c r="B122"/>
      <c r="C122"/>
      <c r="D122" s="141"/>
      <c r="E122"/>
      <c r="F122"/>
      <c r="G122"/>
      <c r="H122"/>
      <c r="I122"/>
      <c r="J122"/>
      <c r="K122"/>
      <c r="L122"/>
      <c r="M122"/>
      <c r="N122"/>
      <c r="O122"/>
      <c r="P122"/>
      <c r="Q122"/>
      <c r="R122"/>
      <c r="S122"/>
      <c r="T122"/>
      <c r="U122"/>
      <c r="V122"/>
      <c r="W122"/>
      <c r="X122"/>
      <c r="Y122"/>
      <c r="Z122"/>
      <c r="AA122"/>
    </row>
    <row r="123" spans="2:27">
      <c r="B123"/>
      <c r="C123"/>
      <c r="D123" s="141"/>
      <c r="E123"/>
      <c r="F123"/>
      <c r="G123"/>
      <c r="H123"/>
      <c r="I123"/>
      <c r="J123"/>
      <c r="K123"/>
      <c r="L123"/>
      <c r="M123"/>
      <c r="N123"/>
      <c r="O123"/>
      <c r="P123"/>
      <c r="Q123"/>
      <c r="R123"/>
      <c r="S123"/>
      <c r="T123"/>
      <c r="U123"/>
      <c r="V123"/>
      <c r="W123"/>
      <c r="X123"/>
      <c r="Y123"/>
      <c r="Z123"/>
      <c r="AA123"/>
    </row>
    <row r="124" spans="2:27">
      <c r="B124"/>
      <c r="C124"/>
      <c r="D124" s="141"/>
      <c r="E124" s="297"/>
      <c r="F124"/>
      <c r="G124"/>
      <c r="H124"/>
      <c r="I124"/>
      <c r="J124"/>
      <c r="K124"/>
      <c r="L124"/>
      <c r="M124"/>
      <c r="N124"/>
      <c r="O124"/>
      <c r="P124"/>
      <c r="Q124"/>
      <c r="R124"/>
      <c r="S124"/>
      <c r="T124"/>
      <c r="U124"/>
      <c r="V124"/>
      <c r="W124"/>
      <c r="X124"/>
      <c r="Y124"/>
      <c r="Z124"/>
      <c r="AA124"/>
    </row>
    <row r="125" spans="2:27">
      <c r="B125"/>
      <c r="C125"/>
      <c r="D125"/>
      <c r="E125"/>
      <c r="F125"/>
      <c r="G125"/>
      <c r="H125"/>
      <c r="I125"/>
      <c r="J125"/>
      <c r="K125"/>
      <c r="L125"/>
      <c r="M125"/>
      <c r="N125"/>
      <c r="O125"/>
      <c r="P125"/>
      <c r="Q125"/>
      <c r="R125"/>
      <c r="S125"/>
      <c r="T125"/>
      <c r="U125"/>
      <c r="V125"/>
      <c r="W125"/>
      <c r="X125"/>
      <c r="Y125"/>
      <c r="Z125"/>
      <c r="AA125"/>
    </row>
    <row r="126" spans="2:27">
      <c r="B126"/>
      <c r="C126"/>
      <c r="D126"/>
      <c r="E126"/>
      <c r="F126"/>
      <c r="G126"/>
      <c r="H126"/>
      <c r="I126"/>
      <c r="J126"/>
      <c r="K126"/>
      <c r="L126"/>
      <c r="M126"/>
      <c r="N126"/>
      <c r="O126"/>
      <c r="P126"/>
      <c r="Q126"/>
      <c r="R126"/>
      <c r="S126"/>
      <c r="T126"/>
      <c r="U126"/>
      <c r="V126"/>
      <c r="W126"/>
      <c r="X126"/>
      <c r="Y126"/>
      <c r="Z126"/>
      <c r="AA126"/>
    </row>
    <row r="127" spans="2:27">
      <c r="B127"/>
      <c r="C127"/>
      <c r="D127"/>
      <c r="E127"/>
      <c r="F127"/>
      <c r="G127"/>
      <c r="H127"/>
      <c r="I127"/>
      <c r="J127"/>
      <c r="K127"/>
      <c r="L127"/>
      <c r="M127"/>
      <c r="N127"/>
      <c r="O127"/>
      <c r="P127"/>
      <c r="Q127"/>
      <c r="R127"/>
      <c r="S127"/>
      <c r="T127"/>
      <c r="U127"/>
      <c r="V127"/>
      <c r="W127"/>
      <c r="X127"/>
      <c r="Y127"/>
      <c r="Z127"/>
      <c r="AA127"/>
    </row>
    <row r="128" spans="2:27">
      <c r="B128"/>
      <c r="C128"/>
      <c r="D128" s="246"/>
      <c r="E128" s="246"/>
      <c r="F128" s="141"/>
      <c r="G128" s="141"/>
      <c r="H128" s="141"/>
      <c r="I128" s="246"/>
      <c r="J128" s="141"/>
      <c r="K128" s="141"/>
      <c r="L128" s="141"/>
      <c r="M128" s="141"/>
      <c r="N128" s="246"/>
      <c r="O128" s="141"/>
      <c r="P128" s="141"/>
      <c r="Q128"/>
      <c r="R128"/>
      <c r="S128"/>
      <c r="T128"/>
      <c r="U128"/>
      <c r="V128"/>
      <c r="W128"/>
      <c r="X128"/>
      <c r="Y128"/>
      <c r="Z128"/>
      <c r="AA128"/>
    </row>
    <row r="129" spans="2:27">
      <c r="B129"/>
      <c r="C129"/>
      <c r="D129" s="246"/>
      <c r="E129" s="246"/>
      <c r="F129" s="141"/>
      <c r="G129" s="141"/>
      <c r="H129" s="141"/>
      <c r="I129" s="246"/>
      <c r="J129" s="141"/>
      <c r="K129" s="141"/>
      <c r="L129" s="141"/>
      <c r="M129" s="141"/>
      <c r="N129" s="246"/>
      <c r="O129" s="141"/>
      <c r="P129" s="141"/>
      <c r="Q129"/>
      <c r="R129"/>
      <c r="S129"/>
      <c r="T129"/>
      <c r="U129"/>
      <c r="V129"/>
      <c r="W129"/>
      <c r="X129"/>
      <c r="Y129"/>
      <c r="Z129"/>
      <c r="AA129"/>
    </row>
    <row r="130" spans="2:27">
      <c r="B130"/>
      <c r="C130"/>
      <c r="D130" s="246"/>
      <c r="E130" s="246"/>
      <c r="F130" s="141"/>
      <c r="G130" s="141"/>
      <c r="H130" s="141"/>
      <c r="I130" s="246"/>
      <c r="J130" s="141"/>
      <c r="K130" s="141"/>
      <c r="L130" s="141"/>
      <c r="M130" s="141"/>
      <c r="N130" s="246"/>
      <c r="O130" s="141"/>
      <c r="P130" s="141"/>
      <c r="Q130"/>
      <c r="R130"/>
      <c r="S130"/>
      <c r="T130"/>
      <c r="U130"/>
      <c r="V130"/>
      <c r="W130"/>
      <c r="X130"/>
      <c r="Y130"/>
      <c r="Z130"/>
      <c r="AA130"/>
    </row>
    <row r="131" spans="2:27">
      <c r="B131"/>
      <c r="C131"/>
      <c r="D131" s="246"/>
      <c r="E131" s="246"/>
      <c r="F131" s="141"/>
      <c r="G131" s="141"/>
      <c r="H131" s="141"/>
      <c r="I131" s="246"/>
      <c r="J131" s="141"/>
      <c r="K131" s="141"/>
      <c r="L131" s="141"/>
      <c r="M131" s="141"/>
      <c r="N131" s="246"/>
      <c r="O131" s="141"/>
      <c r="P131" s="141"/>
      <c r="Q131"/>
      <c r="R131"/>
      <c r="S131"/>
      <c r="T131"/>
      <c r="U131"/>
      <c r="V131"/>
      <c r="W131"/>
      <c r="X131"/>
      <c r="Y131"/>
      <c r="Z131"/>
      <c r="AA131"/>
    </row>
    <row r="132" spans="2:27">
      <c r="C132"/>
      <c r="D132"/>
      <c r="E132"/>
      <c r="F132"/>
      <c r="G132"/>
      <c r="H132"/>
      <c r="I132"/>
      <c r="J132"/>
      <c r="K132"/>
      <c r="L132"/>
      <c r="M132"/>
      <c r="N132"/>
      <c r="O132"/>
      <c r="P132"/>
      <c r="Q132"/>
      <c r="R132"/>
      <c r="S132"/>
      <c r="T132"/>
      <c r="U132"/>
      <c r="V132"/>
      <c r="W132"/>
      <c r="X132"/>
      <c r="Y132"/>
      <c r="Z132"/>
      <c r="AA132"/>
    </row>
    <row r="133" spans="2:27">
      <c r="C133"/>
      <c r="D133"/>
      <c r="E133"/>
      <c r="F133"/>
      <c r="G133"/>
      <c r="H133"/>
      <c r="I133"/>
      <c r="J133"/>
      <c r="K133"/>
      <c r="L133"/>
      <c r="M133"/>
      <c r="N133"/>
      <c r="O133"/>
      <c r="P133"/>
      <c r="Q133"/>
      <c r="R133"/>
      <c r="S133"/>
      <c r="T133"/>
      <c r="U133"/>
      <c r="V133"/>
      <c r="W133"/>
      <c r="X133"/>
      <c r="Y133"/>
      <c r="Z133"/>
      <c r="AA133"/>
    </row>
  </sheetData>
  <mergeCells count="15">
    <mergeCell ref="P6:Q6"/>
    <mergeCell ref="R6:S6"/>
    <mergeCell ref="T6:U6"/>
    <mergeCell ref="B6:B7"/>
    <mergeCell ref="D6:E6"/>
    <mergeCell ref="F6:G6"/>
    <mergeCell ref="H6:I6"/>
    <mergeCell ref="D34:E34"/>
    <mergeCell ref="F34:G34"/>
    <mergeCell ref="H34:I34"/>
    <mergeCell ref="S103:V103"/>
    <mergeCell ref="X103:AA103"/>
    <mergeCell ref="C86:F86"/>
    <mergeCell ref="H86:K86"/>
    <mergeCell ref="C47:D47"/>
  </mergeCells>
  <hyperlinks>
    <hyperlink ref="B40" r:id="rId1" display="https://ec.europa.eu/eurostat/cache/infographs/energy_balances/enbal.html?geo=EU27_2020&amp;unit=GWH&amp;language=EN&amp;year=2022&amp;fuel=fuelMainFuel&amp;siec=TOTAL&amp;details=0&amp;chartOptions=0&amp;stacking=normal&amp;chartBal=NRGSUP&amp;chart=barCart&amp;full=1&amp;chartBalText=&amp;order=DESC&amp;siecs=TOTAL,C0000X0350-0370,C0350-0370,E7000,S2000,G3000,H8000,N900H,O4000XBIO,P1000,RA000,W6100_6220&amp;dataset=nrg_bal_s&amp;decimals=0&amp;agregates=0&amp;fuelList=fuelElectricity,fuelCombustible,fuelNonCombustible,fuelOtherPetroleum,fuelMainPetroleum,fuelOil,fuelOtherFossil,fuelFossil,fuelCoal,fuelMainFuel" xr:uid="{0EC22118-771D-4C6B-8D9A-E87933D7C13B}"/>
  </hyperlinks>
  <pageMargins left="0.7" right="0.7" top="0.75" bottom="0.75" header="0.3" footer="0.3"/>
  <pageSetup orientation="portrait" horizontalDpi="1200" verticalDpi="1200" r:id="rId2"/>
  <headerFooter>
    <oddFooter>&amp;C_x000D_&amp;1#&amp;"Calibri"&amp;10&amp;K000000 Intern/Internal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8A40-3CB9-40A6-A7F8-226E4BCF1531}">
  <sheetPr>
    <tabColor theme="4" tint="0.59999389629810485"/>
  </sheetPr>
  <dimension ref="A1:J53"/>
  <sheetViews>
    <sheetView topLeftCell="A13" zoomScale="85" zoomScaleNormal="85" workbookViewId="0">
      <selection activeCell="B47" sqref="B47"/>
    </sheetView>
  </sheetViews>
  <sheetFormatPr defaultColWidth="9.28515625" defaultRowHeight="16.899999999999999"/>
  <cols>
    <col min="1" max="1" width="3.42578125" style="2" customWidth="1"/>
    <col min="2" max="2" width="17.28515625" style="2" customWidth="1"/>
    <col min="3" max="9" width="12.28515625" style="253" customWidth="1"/>
    <col min="10" max="10" width="14.140625" style="2" customWidth="1"/>
    <col min="11" max="11" width="9.42578125" style="2" customWidth="1"/>
    <col min="12" max="16384" width="9.28515625" style="2"/>
  </cols>
  <sheetData>
    <row r="1" spans="1:10" s="309" customFormat="1">
      <c r="A1" s="304" t="s">
        <v>126</v>
      </c>
      <c r="C1" s="310"/>
      <c r="D1" s="310"/>
      <c r="E1" s="310"/>
      <c r="F1" s="310"/>
      <c r="G1" s="310"/>
      <c r="H1" s="310"/>
      <c r="I1" s="310"/>
    </row>
    <row r="3" spans="1:10">
      <c r="B3" s="1" t="s">
        <v>205</v>
      </c>
    </row>
    <row r="4" spans="1:10">
      <c r="B4" s="3"/>
    </row>
    <row r="5" spans="1:10">
      <c r="C5" s="4" t="s">
        <v>206</v>
      </c>
      <c r="D5" s="536" t="s">
        <v>207</v>
      </c>
      <c r="E5" s="537"/>
      <c r="F5" s="538" t="s">
        <v>35</v>
      </c>
      <c r="G5" s="539"/>
      <c r="H5" s="538" t="s">
        <v>36</v>
      </c>
      <c r="I5" s="539"/>
    </row>
    <row r="6" spans="1:10">
      <c r="C6" s="5">
        <v>2019</v>
      </c>
      <c r="D6" s="6">
        <v>2030</v>
      </c>
      <c r="E6" s="6">
        <v>2040</v>
      </c>
      <c r="F6" s="5">
        <v>2040</v>
      </c>
      <c r="G6" s="5">
        <v>2050</v>
      </c>
      <c r="H6" s="5">
        <v>2040</v>
      </c>
      <c r="I6" s="5">
        <v>2050</v>
      </c>
    </row>
    <row r="7" spans="1:10">
      <c r="B7" s="7" t="s">
        <v>208</v>
      </c>
      <c r="C7" s="564">
        <v>2528.779931147933</v>
      </c>
      <c r="D7" s="8">
        <v>3062.8373511129394</v>
      </c>
      <c r="E7" s="8">
        <v>3534.4085441116754</v>
      </c>
      <c r="F7" s="564">
        <v>3765.6712656630616</v>
      </c>
      <c r="G7" s="564">
        <v>4062.9695125408994</v>
      </c>
      <c r="H7" s="564">
        <v>3368.4290397443533</v>
      </c>
      <c r="I7" s="564">
        <v>3616.0303966722827</v>
      </c>
      <c r="J7" s="371">
        <f>H7/FEC!M8</f>
        <v>1.0405167733213521</v>
      </c>
    </row>
    <row r="8" spans="1:10">
      <c r="B8" s="7" t="s">
        <v>86</v>
      </c>
      <c r="C8" s="564">
        <v>0</v>
      </c>
      <c r="D8" s="564">
        <v>390.80557622508314</v>
      </c>
      <c r="E8" s="564">
        <v>945.74656297293848</v>
      </c>
      <c r="F8" s="564">
        <v>1013.7446304438419</v>
      </c>
      <c r="G8" s="564">
        <v>1436.7344008288665</v>
      </c>
      <c r="H8" s="564">
        <v>1600.6993910274318</v>
      </c>
      <c r="I8" s="564">
        <v>2277.1878526008509</v>
      </c>
      <c r="J8" s="371">
        <f>H8/FEC!M9</f>
        <v>1.3394912509738506</v>
      </c>
    </row>
    <row r="9" spans="1:10">
      <c r="B9" s="7" t="s">
        <v>84</v>
      </c>
      <c r="C9" s="564">
        <v>2700.38328386886</v>
      </c>
      <c r="D9" s="564">
        <v>2234.0645790144358</v>
      </c>
      <c r="E9" s="564">
        <v>1544.0581468432376</v>
      </c>
      <c r="F9" s="564">
        <v>1348.7950152215419</v>
      </c>
      <c r="G9" s="564">
        <v>782.94609201787034</v>
      </c>
      <c r="H9" s="564">
        <v>1699.9878274871176</v>
      </c>
      <c r="I9" s="564">
        <v>983.23705303287113</v>
      </c>
      <c r="J9" s="371">
        <f>H9/FEC!M10</f>
        <v>1.216864116044063</v>
      </c>
    </row>
    <row r="10" spans="1:10">
      <c r="B10" s="7" t="s">
        <v>209</v>
      </c>
      <c r="C10" s="564">
        <v>634.47987538458926</v>
      </c>
      <c r="D10" s="564">
        <v>373.42403879283177</v>
      </c>
      <c r="E10" s="564">
        <v>493.28427777947195</v>
      </c>
      <c r="F10" s="564">
        <v>664.71798330174556</v>
      </c>
      <c r="G10" s="564">
        <v>597.25220359032585</v>
      </c>
      <c r="H10" s="564">
        <v>606.55412652022824</v>
      </c>
      <c r="I10" s="564">
        <v>515.80499883747063</v>
      </c>
      <c r="J10" s="371"/>
    </row>
    <row r="11" spans="1:10">
      <c r="B11" s="7" t="s">
        <v>210</v>
      </c>
      <c r="C11" s="564">
        <v>1030.6822751873965</v>
      </c>
      <c r="D11" s="564">
        <v>780.18165262866864</v>
      </c>
      <c r="E11" s="564">
        <v>612.7918306953427</v>
      </c>
      <c r="F11" s="564">
        <v>553.40272871702882</v>
      </c>
      <c r="G11" s="564">
        <v>412.36075627127883</v>
      </c>
      <c r="H11" s="564">
        <v>620.77481182202496</v>
      </c>
      <c r="I11" s="564">
        <v>568.52530453353052</v>
      </c>
      <c r="J11" s="371"/>
    </row>
    <row r="12" spans="1:10">
      <c r="B12" s="7" t="s">
        <v>211</v>
      </c>
      <c r="C12" s="564">
        <v>361.34809250239215</v>
      </c>
      <c r="D12" s="564">
        <v>149.69436621780807</v>
      </c>
      <c r="E12" s="564">
        <v>47.164529132079572</v>
      </c>
      <c r="F12" s="564">
        <v>60.832751920755086</v>
      </c>
      <c r="G12" s="564">
        <v>33.366545949399701</v>
      </c>
      <c r="H12" s="564">
        <v>89.069081432739537</v>
      </c>
      <c r="I12" s="564">
        <v>31.93988097119189</v>
      </c>
      <c r="J12" s="371"/>
    </row>
    <row r="13" spans="1:10">
      <c r="B13" s="7" t="s">
        <v>212</v>
      </c>
      <c r="C13" s="564">
        <v>5150.0383236637654</v>
      </c>
      <c r="D13" s="564">
        <v>3619.7632975805259</v>
      </c>
      <c r="E13" s="564">
        <v>2650.2243270212857</v>
      </c>
      <c r="F13" s="564">
        <v>2005.4222029037633</v>
      </c>
      <c r="G13" s="564">
        <v>1000.1943542238032</v>
      </c>
      <c r="H13" s="564">
        <v>2169.4767124451619</v>
      </c>
      <c r="I13" s="564">
        <v>1026.6805899715573</v>
      </c>
      <c r="J13" s="371" t="e">
        <f>H13/FEC!M14</f>
        <v>#DIV/0!</v>
      </c>
    </row>
    <row r="14" spans="1:10">
      <c r="B14" s="7" t="s">
        <v>195</v>
      </c>
      <c r="C14" s="564">
        <v>0</v>
      </c>
      <c r="D14" s="564">
        <v>68.360544776378347</v>
      </c>
      <c r="E14" s="564">
        <v>90.416139903206897</v>
      </c>
      <c r="F14" s="564">
        <v>0</v>
      </c>
      <c r="G14" s="564">
        <v>0</v>
      </c>
      <c r="H14" s="564">
        <v>0</v>
      </c>
      <c r="I14" s="564">
        <v>0</v>
      </c>
    </row>
    <row r="15" spans="1:10">
      <c r="B15" s="9" t="s">
        <v>170</v>
      </c>
      <c r="C15" s="252">
        <v>12405.711781754937</v>
      </c>
      <c r="D15" s="252">
        <v>10679.131406348672</v>
      </c>
      <c r="E15" s="252">
        <v>9918.0943584592369</v>
      </c>
      <c r="F15" s="252">
        <v>9412.5865781717384</v>
      </c>
      <c r="G15" s="252">
        <v>8325.8238654224424</v>
      </c>
      <c r="H15" s="252">
        <v>10154.990990479058</v>
      </c>
      <c r="I15" s="252">
        <v>9019.4060766197545</v>
      </c>
    </row>
    <row r="16" spans="1:10">
      <c r="C16" s="363"/>
      <c r="D16" s="363"/>
      <c r="E16" s="363"/>
      <c r="F16" s="370"/>
      <c r="G16" s="370"/>
      <c r="H16" s="363"/>
      <c r="I16" s="363"/>
    </row>
    <row r="17" spans="2:10">
      <c r="B17" s="2" t="s">
        <v>213</v>
      </c>
      <c r="C17" s="363"/>
      <c r="D17" s="392">
        <f>'H2 demand &amp; supply'!D16</f>
        <v>483.47964370044201</v>
      </c>
      <c r="E17" s="392">
        <f>'H2 demand &amp; supply'!E16</f>
        <v>1688.1672920451399</v>
      </c>
      <c r="F17" s="370">
        <f>'H2 demand &amp; supply'!F16</f>
        <v>1750.4328741653826</v>
      </c>
      <c r="G17" s="370">
        <f>'H2 demand &amp; supply'!G16</f>
        <v>2331.8206367785688</v>
      </c>
      <c r="H17" s="393">
        <f>'H2 demand &amp; supply'!H16</f>
        <v>2188.6893575431213</v>
      </c>
      <c r="I17" s="392">
        <f>'H2 demand &amp; supply'!I16</f>
        <v>3114.0910429749301</v>
      </c>
    </row>
    <row r="18" spans="2:10">
      <c r="C18" s="363"/>
      <c r="D18" s="363"/>
      <c r="E18" s="393">
        <f>E17-E8</f>
        <v>742.42072907220142</v>
      </c>
      <c r="F18" s="370"/>
      <c r="G18" s="370"/>
      <c r="H18" s="363"/>
      <c r="I18" s="363"/>
    </row>
    <row r="19" spans="2:10">
      <c r="B19" s="10" t="s">
        <v>214</v>
      </c>
      <c r="C19" s="254"/>
      <c r="D19" s="254"/>
      <c r="E19" s="254"/>
      <c r="F19" s="254"/>
      <c r="G19" s="254"/>
      <c r="H19" s="254"/>
      <c r="I19" s="254"/>
    </row>
    <row r="20" spans="2:10">
      <c r="B20" s="11" t="s">
        <v>215</v>
      </c>
    </row>
    <row r="21" spans="2:10">
      <c r="B21" s="11" t="s">
        <v>216</v>
      </c>
    </row>
    <row r="22" spans="2:10">
      <c r="B22" s="12" t="s">
        <v>217</v>
      </c>
    </row>
    <row r="24" spans="2:10">
      <c r="B24" s="13" t="s">
        <v>218</v>
      </c>
      <c r="C24" s="251">
        <f t="shared" ref="C24:I24" si="0">C7/C15</f>
        <v>0.20383997110645485</v>
      </c>
      <c r="D24" s="251">
        <f t="shared" si="0"/>
        <v>0.28680584914350837</v>
      </c>
      <c r="E24" s="251">
        <f t="shared" si="0"/>
        <v>0.35635964091198069</v>
      </c>
      <c r="F24" s="251">
        <f t="shared" si="0"/>
        <v>0.40006763649811655</v>
      </c>
      <c r="G24" s="251">
        <f t="shared" si="0"/>
        <v>0.4879960924245122</v>
      </c>
      <c r="H24" s="251">
        <f t="shared" si="0"/>
        <v>0.3317018245414956</v>
      </c>
      <c r="I24" s="251">
        <f t="shared" si="0"/>
        <v>0.40091668630441346</v>
      </c>
    </row>
    <row r="25" spans="2:10">
      <c r="B25" s="13" t="s">
        <v>219</v>
      </c>
      <c r="C25" s="251">
        <f>C8/C15</f>
        <v>0</v>
      </c>
      <c r="D25" s="251">
        <f>('H2 demand &amp; supply'!E68+'H2 demand &amp; supply'!E69)/D15</f>
        <v>4.5283156851728387E-2</v>
      </c>
      <c r="E25" s="251">
        <f t="shared" ref="E25:I25" si="1">E8/E15</f>
        <v>9.535567305490518E-2</v>
      </c>
      <c r="F25" s="251">
        <f t="shared" si="1"/>
        <v>0.10770096211330121</v>
      </c>
      <c r="G25" s="251">
        <f t="shared" si="1"/>
        <v>0.17256363142579745</v>
      </c>
      <c r="H25" s="251">
        <f t="shared" si="1"/>
        <v>0.15762686471393111</v>
      </c>
      <c r="I25" s="251">
        <f t="shared" si="1"/>
        <v>0.25247647497586484</v>
      </c>
    </row>
    <row r="27" spans="2:10" s="255" customFormat="1">
      <c r="B27" s="257" t="s">
        <v>184</v>
      </c>
      <c r="C27" s="256"/>
      <c r="D27" s="256"/>
      <c r="E27" s="256"/>
      <c r="F27" s="256"/>
      <c r="G27" s="256"/>
      <c r="H27" s="256"/>
      <c r="I27" s="256"/>
    </row>
    <row r="28" spans="2:10">
      <c r="B28" s="280"/>
    </row>
    <row r="29" spans="2:10">
      <c r="B29" s="281" t="s">
        <v>220</v>
      </c>
    </row>
    <row r="30" spans="2:10" ht="17.45" thickBot="1">
      <c r="B30" s="281"/>
    </row>
    <row r="31" spans="2:10">
      <c r="B31" s="253"/>
      <c r="C31" s="259">
        <v>2019</v>
      </c>
      <c r="D31" s="260">
        <v>2020</v>
      </c>
      <c r="E31" s="260">
        <v>2030</v>
      </c>
      <c r="F31" s="260">
        <v>2035</v>
      </c>
      <c r="G31" s="260">
        <v>2040</v>
      </c>
      <c r="H31" s="260">
        <v>2045</v>
      </c>
      <c r="I31" s="261">
        <v>2050</v>
      </c>
    </row>
    <row r="32" spans="2:10" ht="16.899999999999999" customHeight="1">
      <c r="B32" s="253" t="s">
        <v>221</v>
      </c>
      <c r="C32" s="262">
        <v>19.7641907121595</v>
      </c>
      <c r="D32" s="263">
        <v>19.995482170709401</v>
      </c>
      <c r="E32" s="263">
        <v>29.435226385834</v>
      </c>
      <c r="F32" s="263">
        <v>39.017093639965701</v>
      </c>
      <c r="G32" s="263">
        <v>49.613881571887902</v>
      </c>
      <c r="H32" s="263">
        <v>57.068908382437499</v>
      </c>
      <c r="I32" s="264">
        <v>60.6961450886104</v>
      </c>
      <c r="J32" s="258" t="s">
        <v>222</v>
      </c>
    </row>
    <row r="33" spans="2:10" ht="17.45" thickBot="1">
      <c r="B33" s="253" t="s">
        <v>223</v>
      </c>
      <c r="C33" s="265">
        <v>19.7641907121595</v>
      </c>
      <c r="D33" s="266">
        <v>19.995482170709401</v>
      </c>
      <c r="E33" s="266">
        <v>29.721336285702598</v>
      </c>
      <c r="F33" s="266">
        <v>40.784877500399297</v>
      </c>
      <c r="G33" s="266">
        <v>53.633947719030701</v>
      </c>
      <c r="H33" s="266">
        <v>61.364502457782699</v>
      </c>
      <c r="I33" s="267">
        <v>62.952546392036801</v>
      </c>
      <c r="J33" s="258" t="s">
        <v>222</v>
      </c>
    </row>
    <row r="34" spans="2:10" ht="17.45" thickBot="1">
      <c r="B34" s="253"/>
      <c r="I34" s="2"/>
      <c r="J34" s="253"/>
    </row>
    <row r="35" spans="2:10">
      <c r="B35" s="253"/>
      <c r="C35" s="268">
        <f>C32/100</f>
        <v>0.19764190712159502</v>
      </c>
      <c r="D35" s="269">
        <f t="shared" ref="D35:I35" si="2">D32/100</f>
        <v>0.199954821707094</v>
      </c>
      <c r="E35" s="270">
        <f t="shared" si="2"/>
        <v>0.29435226385834001</v>
      </c>
      <c r="F35" s="269">
        <f t="shared" si="2"/>
        <v>0.390170936399657</v>
      </c>
      <c r="G35" s="270">
        <f t="shared" si="2"/>
        <v>0.49613881571887902</v>
      </c>
      <c r="H35" s="269">
        <f t="shared" si="2"/>
        <v>0.570689083824375</v>
      </c>
      <c r="I35" s="271">
        <f t="shared" si="2"/>
        <v>0.60696145088610398</v>
      </c>
      <c r="J35" s="253" t="s">
        <v>222</v>
      </c>
    </row>
    <row r="36" spans="2:10" ht="17.45" thickBot="1">
      <c r="B36" s="253"/>
      <c r="C36" s="272">
        <f>C33/100</f>
        <v>0.19764190712159502</v>
      </c>
      <c r="D36" s="273">
        <f t="shared" ref="D36:I36" si="3">D33/100</f>
        <v>0.199954821707094</v>
      </c>
      <c r="E36" s="274">
        <f t="shared" si="3"/>
        <v>0.29721336285702599</v>
      </c>
      <c r="F36" s="273">
        <f t="shared" si="3"/>
        <v>0.40784877500399297</v>
      </c>
      <c r="G36" s="274">
        <f t="shared" si="3"/>
        <v>0.53633947719030706</v>
      </c>
      <c r="H36" s="273">
        <f t="shared" si="3"/>
        <v>0.61364502457782699</v>
      </c>
      <c r="I36" s="275">
        <f t="shared" si="3"/>
        <v>0.62952546392036801</v>
      </c>
      <c r="J36" s="253" t="s">
        <v>222</v>
      </c>
    </row>
    <row r="37" spans="2:10">
      <c r="B37" s="253"/>
      <c r="I37" s="2"/>
      <c r="J37" s="253"/>
    </row>
    <row r="38" spans="2:10">
      <c r="B38" s="281" t="s">
        <v>224</v>
      </c>
      <c r="I38" s="2"/>
      <c r="J38" s="253"/>
    </row>
    <row r="39" spans="2:10" ht="17.45" thickBot="1">
      <c r="B39" s="253"/>
      <c r="I39" s="2"/>
      <c r="J39" s="253"/>
    </row>
    <row r="40" spans="2:10">
      <c r="B40" s="253"/>
      <c r="C40" s="259">
        <v>2019</v>
      </c>
      <c r="D40" s="260">
        <v>2020</v>
      </c>
      <c r="E40" s="260">
        <v>2030</v>
      </c>
      <c r="F40" s="260">
        <v>2035</v>
      </c>
      <c r="G40" s="260">
        <v>2040</v>
      </c>
      <c r="H40" s="260">
        <v>2045</v>
      </c>
      <c r="I40" s="261">
        <v>2050</v>
      </c>
      <c r="J40" s="253"/>
    </row>
    <row r="41" spans="2:10" ht="16.899999999999999" customHeight="1">
      <c r="B41" s="253" t="s">
        <v>221</v>
      </c>
      <c r="C41" s="262">
        <v>46.495199999999997</v>
      </c>
      <c r="D41" s="263">
        <v>46.482500000000002</v>
      </c>
      <c r="E41" s="263">
        <v>39.284599999999998</v>
      </c>
      <c r="F41" s="263">
        <v>33.160200000000003</v>
      </c>
      <c r="G41" s="263">
        <v>27.956499999999998</v>
      </c>
      <c r="H41" s="263">
        <v>25.9787</v>
      </c>
      <c r="I41" s="264">
        <v>25.096499999999999</v>
      </c>
      <c r="J41" s="253" t="s">
        <v>225</v>
      </c>
    </row>
    <row r="42" spans="2:10" ht="17.45" thickBot="1">
      <c r="B42" s="253" t="s">
        <v>223</v>
      </c>
      <c r="C42" s="265">
        <v>46.495199999999997</v>
      </c>
      <c r="D42" s="266">
        <v>46.482500000000002</v>
      </c>
      <c r="E42" s="266">
        <v>39.4636</v>
      </c>
      <c r="F42" s="266">
        <v>34.1096</v>
      </c>
      <c r="G42" s="266">
        <v>28.8901</v>
      </c>
      <c r="H42" s="266">
        <v>27.223400000000002</v>
      </c>
      <c r="I42" s="267">
        <v>27.030799999999999</v>
      </c>
      <c r="J42" s="253" t="s">
        <v>225</v>
      </c>
    </row>
    <row r="43" spans="2:10" ht="17.45" thickBot="1">
      <c r="B43" s="253"/>
      <c r="I43" s="2"/>
      <c r="J43" s="253"/>
    </row>
    <row r="44" spans="2:10">
      <c r="B44" s="253"/>
      <c r="C44" s="282">
        <f>C41*277.778</f>
        <v>12915.343665599999</v>
      </c>
      <c r="D44" s="283">
        <f t="shared" ref="D44:I44" si="4">D41*277.778</f>
        <v>12911.815885000002</v>
      </c>
      <c r="E44" s="284">
        <f t="shared" si="4"/>
        <v>10912.3976188</v>
      </c>
      <c r="F44" s="283">
        <f t="shared" si="4"/>
        <v>9211.1740356000009</v>
      </c>
      <c r="G44" s="284">
        <f t="shared" si="4"/>
        <v>7765.7006570000003</v>
      </c>
      <c r="H44" s="283">
        <f t="shared" si="4"/>
        <v>7216.3113286000007</v>
      </c>
      <c r="I44" s="285">
        <f t="shared" si="4"/>
        <v>6971.2555769999999</v>
      </c>
      <c r="J44" s="253" t="s">
        <v>186</v>
      </c>
    </row>
    <row r="45" spans="2:10" ht="17.45" thickBot="1">
      <c r="B45" s="253"/>
      <c r="C45" s="286">
        <f>C42*277.778</f>
        <v>12915.343665599999</v>
      </c>
      <c r="D45" s="287">
        <f t="shared" ref="D45:I45" si="5">D42*277.778</f>
        <v>12911.815885000002</v>
      </c>
      <c r="E45" s="288">
        <f t="shared" si="5"/>
        <v>10962.119880800001</v>
      </c>
      <c r="F45" s="287">
        <f t="shared" si="5"/>
        <v>9474.8964688000015</v>
      </c>
      <c r="G45" s="288">
        <f t="shared" si="5"/>
        <v>8025.0341978000006</v>
      </c>
      <c r="H45" s="287">
        <f t="shared" si="5"/>
        <v>7562.0616052000014</v>
      </c>
      <c r="I45" s="289">
        <f t="shared" si="5"/>
        <v>7508.5615624000002</v>
      </c>
      <c r="J45" s="253" t="s">
        <v>186</v>
      </c>
    </row>
    <row r="47" spans="2:10" ht="17.45" thickBot="1">
      <c r="B47" s="13" t="s">
        <v>226</v>
      </c>
    </row>
    <row r="48" spans="2:10">
      <c r="B48" s="253"/>
      <c r="C48" s="259">
        <v>2019</v>
      </c>
      <c r="D48" s="260">
        <v>2020</v>
      </c>
      <c r="E48" s="260">
        <v>2030</v>
      </c>
      <c r="F48" s="260">
        <v>2035</v>
      </c>
      <c r="G48" s="260">
        <v>2040</v>
      </c>
      <c r="H48" s="260">
        <v>2045</v>
      </c>
      <c r="I48" s="261">
        <v>2050</v>
      </c>
      <c r="J48" s="253"/>
    </row>
    <row r="49" spans="2:10">
      <c r="B49" s="253" t="s">
        <v>221</v>
      </c>
      <c r="C49" s="262">
        <v>0.112269653641666</v>
      </c>
      <c r="D49" s="263">
        <v>0.13144731888344999</v>
      </c>
      <c r="E49" s="263">
        <v>1.59894180966764</v>
      </c>
      <c r="F49" s="263">
        <v>3.2804727740174302</v>
      </c>
      <c r="G49" s="263">
        <v>5.5579593009369903</v>
      </c>
      <c r="H49" s="263">
        <v>8.31463755584927</v>
      </c>
      <c r="I49" s="264">
        <v>11.3481840039488</v>
      </c>
      <c r="J49" s="253" t="s">
        <v>225</v>
      </c>
    </row>
    <row r="50" spans="2:10" ht="17.45" thickBot="1">
      <c r="B50" s="253" t="s">
        <v>223</v>
      </c>
      <c r="C50" s="265">
        <v>0.112269653641666</v>
      </c>
      <c r="D50" s="266">
        <v>0.13144731888344999</v>
      </c>
      <c r="E50" s="266">
        <v>1.7981600932680999</v>
      </c>
      <c r="F50" s="266">
        <v>4.2420516158976698</v>
      </c>
      <c r="G50" s="266">
        <v>7.7381885034418598</v>
      </c>
      <c r="H50" s="266">
        <v>11.8736087336629</v>
      </c>
      <c r="I50" s="267">
        <v>16.8470781478905</v>
      </c>
      <c r="J50" s="253" t="s">
        <v>225</v>
      </c>
    </row>
    <row r="51" spans="2:10" ht="17.45" thickBot="1">
      <c r="B51" s="253"/>
      <c r="I51" s="2"/>
      <c r="J51" s="253"/>
    </row>
    <row r="52" spans="2:10">
      <c r="B52" s="253"/>
      <c r="C52" s="268">
        <f>C49/100</f>
        <v>1.1226965364166599E-3</v>
      </c>
      <c r="D52" s="269">
        <f t="shared" ref="D52:I52" si="6">D49/100</f>
        <v>1.3144731888344999E-3</v>
      </c>
      <c r="E52" s="270">
        <f t="shared" si="6"/>
        <v>1.5989418096676401E-2</v>
      </c>
      <c r="F52" s="269">
        <f t="shared" si="6"/>
        <v>3.2804727740174303E-2</v>
      </c>
      <c r="G52" s="270">
        <f t="shared" si="6"/>
        <v>5.5579593009369904E-2</v>
      </c>
      <c r="H52" s="269">
        <f t="shared" si="6"/>
        <v>8.3146375558492705E-2</v>
      </c>
      <c r="I52" s="271">
        <f t="shared" si="6"/>
        <v>0.113481840039488</v>
      </c>
      <c r="J52" s="253" t="s">
        <v>222</v>
      </c>
    </row>
    <row r="53" spans="2:10" ht="17.45" thickBot="1">
      <c r="B53" s="253"/>
      <c r="C53" s="272">
        <f>C50/100</f>
        <v>1.1226965364166599E-3</v>
      </c>
      <c r="D53" s="273">
        <f t="shared" ref="D53:I53" si="7">D50/100</f>
        <v>1.3144731888344999E-3</v>
      </c>
      <c r="E53" s="274">
        <f t="shared" si="7"/>
        <v>1.7981600932680999E-2</v>
      </c>
      <c r="F53" s="273">
        <f t="shared" si="7"/>
        <v>4.2420516158976698E-2</v>
      </c>
      <c r="G53" s="274">
        <f t="shared" si="7"/>
        <v>7.7381885034418604E-2</v>
      </c>
      <c r="H53" s="273">
        <f t="shared" si="7"/>
        <v>0.11873608733662901</v>
      </c>
      <c r="I53" s="275">
        <f t="shared" si="7"/>
        <v>0.16847078147890499</v>
      </c>
      <c r="J53" s="253" t="s">
        <v>222</v>
      </c>
    </row>
  </sheetData>
  <mergeCells count="3">
    <mergeCell ref="D5:E5"/>
    <mergeCell ref="F5:G5"/>
    <mergeCell ref="H5:I5"/>
  </mergeCells>
  <pageMargins left="0.7" right="0.7" top="0.75" bottom="0.75" header="0.3" footer="0.3"/>
  <pageSetup orientation="portrait" horizontalDpi="1200" verticalDpi="1200" r:id="rId1"/>
  <headerFooter>
    <oddFooter>&amp;C_x000D_&amp;1#&amp;"Calibri"&amp;10&amp;K000000 Intern/Internal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2340-19C9-4184-816E-57599AEBE054}">
  <sheetPr>
    <tabColor theme="4" tint="0.59999389629810485"/>
  </sheetPr>
  <dimension ref="A1:Q97"/>
  <sheetViews>
    <sheetView zoomScale="88" zoomScaleNormal="88" workbookViewId="0">
      <selection activeCell="L85" sqref="L85"/>
    </sheetView>
  </sheetViews>
  <sheetFormatPr defaultColWidth="8.7109375" defaultRowHeight="16.899999999999999"/>
  <cols>
    <col min="1" max="1" width="32.42578125" style="22" customWidth="1"/>
    <col min="2" max="2" width="16" style="22" customWidth="1"/>
    <col min="3" max="3" width="7.7109375" style="22" customWidth="1"/>
    <col min="4" max="4" width="12.42578125" style="22" bestFit="1" customWidth="1"/>
    <col min="5" max="5" width="10.7109375" style="22" customWidth="1"/>
    <col min="6" max="6" width="13.7109375" style="22" customWidth="1"/>
    <col min="7" max="7" width="8.28515625" style="22" customWidth="1"/>
    <col min="8" max="9" width="8.7109375" style="22"/>
    <col min="10" max="10" width="14.28515625" style="22" customWidth="1"/>
    <col min="11" max="11" width="12.42578125" style="22" customWidth="1"/>
    <col min="12" max="12" width="11.5703125" style="22" customWidth="1"/>
    <col min="13" max="14" width="11.42578125" style="22" customWidth="1"/>
    <col min="15" max="16" width="8.7109375" style="22"/>
    <col min="17" max="17" width="11.28515625" style="22" customWidth="1"/>
    <col min="18" max="16384" width="8.7109375" style="22"/>
  </cols>
  <sheetData>
    <row r="1" spans="1:17" s="309" customFormat="1">
      <c r="A1" s="304" t="s">
        <v>126</v>
      </c>
      <c r="C1" s="310"/>
      <c r="D1" s="310"/>
      <c r="E1" s="310"/>
      <c r="F1" s="310"/>
      <c r="G1" s="310"/>
      <c r="H1" s="310"/>
      <c r="I1" s="310"/>
    </row>
    <row r="3" spans="1:17">
      <c r="B3" s="1" t="s">
        <v>227</v>
      </c>
    </row>
    <row r="4" spans="1:17" ht="5.65" customHeight="1">
      <c r="B4" s="1"/>
    </row>
    <row r="5" spans="1:17">
      <c r="B5" s="542" t="s">
        <v>228</v>
      </c>
      <c r="C5" s="543"/>
      <c r="D5" s="543"/>
      <c r="E5" s="543"/>
      <c r="F5" s="543"/>
      <c r="G5" s="543"/>
      <c r="H5" s="543"/>
      <c r="I5" s="543"/>
      <c r="J5" s="543"/>
      <c r="K5" s="543"/>
      <c r="L5" s="543"/>
      <c r="M5" s="543"/>
      <c r="N5" s="543"/>
      <c r="O5" s="543"/>
      <c r="P5" s="543"/>
      <c r="Q5" s="543"/>
    </row>
    <row r="6" spans="1:17">
      <c r="B6" s="544" t="s">
        <v>229</v>
      </c>
      <c r="C6" s="145">
        <v>2015</v>
      </c>
      <c r="D6" s="145">
        <v>2019</v>
      </c>
      <c r="E6" s="545">
        <v>2030</v>
      </c>
      <c r="F6" s="545"/>
      <c r="G6" s="545"/>
      <c r="H6" s="545"/>
      <c r="I6" s="545"/>
      <c r="J6" s="546">
        <v>2040</v>
      </c>
      <c r="K6" s="547"/>
      <c r="L6" s="547"/>
      <c r="M6" s="547"/>
      <c r="N6" s="547"/>
      <c r="O6" s="547">
        <v>2050</v>
      </c>
      <c r="P6" s="547"/>
      <c r="Q6" s="547"/>
    </row>
    <row r="7" spans="1:17" ht="33.6">
      <c r="B7" s="545"/>
      <c r="C7" s="146" t="s">
        <v>230</v>
      </c>
      <c r="D7" s="146" t="s">
        <v>230</v>
      </c>
      <c r="E7" s="143" t="s">
        <v>231</v>
      </c>
      <c r="F7" s="144" t="s">
        <v>232</v>
      </c>
      <c r="G7" s="144" t="s">
        <v>230</v>
      </c>
      <c r="H7" s="144" t="s">
        <v>233</v>
      </c>
      <c r="I7" s="147" t="s">
        <v>234</v>
      </c>
      <c r="J7" s="158" t="s">
        <v>231</v>
      </c>
      <c r="K7" s="159" t="s">
        <v>232</v>
      </c>
      <c r="L7" s="159" t="s">
        <v>235</v>
      </c>
      <c r="M7" s="159" t="s">
        <v>236</v>
      </c>
      <c r="N7" s="159" t="s">
        <v>237</v>
      </c>
      <c r="O7" s="159" t="s">
        <v>235</v>
      </c>
      <c r="P7" s="159" t="s">
        <v>236</v>
      </c>
      <c r="Q7" s="159" t="s">
        <v>237</v>
      </c>
    </row>
    <row r="8" spans="1:17">
      <c r="B8" s="148" t="s">
        <v>208</v>
      </c>
      <c r="C8" s="149">
        <v>2449.9644607499999</v>
      </c>
      <c r="D8" s="149">
        <v>2478.84554213</v>
      </c>
      <c r="E8" s="150">
        <v>2951.6553410561783</v>
      </c>
      <c r="F8" s="151">
        <v>2951.6553410561783</v>
      </c>
      <c r="G8" s="151">
        <v>2792.5150745945516</v>
      </c>
      <c r="H8" s="151">
        <v>2786.51566355977</v>
      </c>
      <c r="I8" s="152">
        <v>2740.6368620166072</v>
      </c>
      <c r="J8" s="150">
        <v>3437.5486267987908</v>
      </c>
      <c r="K8" s="151">
        <v>3437.5486267987908</v>
      </c>
      <c r="L8" s="151">
        <v>3634.5077137130615</v>
      </c>
      <c r="M8" s="151">
        <v>3237.2654877943532</v>
      </c>
      <c r="N8" s="151">
        <v>3333.9052601650737</v>
      </c>
      <c r="O8" s="151">
        <v>3931.8059605908993</v>
      </c>
      <c r="P8" s="151">
        <v>3484.8668447222826</v>
      </c>
      <c r="Q8" s="151">
        <v>3694.9163293378797</v>
      </c>
    </row>
    <row r="9" spans="1:17">
      <c r="B9" s="153" t="s">
        <v>86</v>
      </c>
      <c r="C9" s="149">
        <v>0</v>
      </c>
      <c r="D9" s="149">
        <v>0</v>
      </c>
      <c r="E9" s="150">
        <v>251.07841500000001</v>
      </c>
      <c r="F9" s="151">
        <v>251.07841500000001</v>
      </c>
      <c r="G9" s="151">
        <v>38.221073833545674</v>
      </c>
      <c r="H9" s="151">
        <v>54.575632674521344</v>
      </c>
      <c r="I9" s="152">
        <v>242.49319141763564</v>
      </c>
      <c r="J9" s="150">
        <v>633.11094183366208</v>
      </c>
      <c r="K9" s="151">
        <v>633.11094183366208</v>
      </c>
      <c r="L9" s="151">
        <v>592.22415715831301</v>
      </c>
      <c r="M9" s="151">
        <v>1195.0054842565601</v>
      </c>
      <c r="N9" s="151">
        <v>395.57934870801506</v>
      </c>
      <c r="O9" s="151">
        <v>823.86093037915452</v>
      </c>
      <c r="P9" s="151">
        <v>1604.9839420886699</v>
      </c>
      <c r="Q9" s="151">
        <v>660.93741152970154</v>
      </c>
    </row>
    <row r="10" spans="1:17">
      <c r="B10" s="153" t="s">
        <v>84</v>
      </c>
      <c r="C10" s="149">
        <v>2294.9582855899998</v>
      </c>
      <c r="D10" s="149">
        <v>2368.8223345400002</v>
      </c>
      <c r="E10" s="150">
        <v>1720.0294664691564</v>
      </c>
      <c r="F10" s="151">
        <v>1720.0294664691564</v>
      </c>
      <c r="G10" s="151">
        <v>1185.9367054662382</v>
      </c>
      <c r="H10" s="151">
        <v>1643.1242858643345</v>
      </c>
      <c r="I10" s="152">
        <v>875.43194194347177</v>
      </c>
      <c r="J10" s="150">
        <v>966.71348351992413</v>
      </c>
      <c r="K10" s="151">
        <v>966.71348351992413</v>
      </c>
      <c r="L10" s="360">
        <v>1122.2783079917904</v>
      </c>
      <c r="M10" s="360">
        <v>1397.0235501837747</v>
      </c>
      <c r="N10" s="151">
        <v>466.35089800851716</v>
      </c>
      <c r="O10" s="151">
        <v>629.06855657794563</v>
      </c>
      <c r="P10" s="151">
        <v>801.06645734474375</v>
      </c>
      <c r="Q10" s="151">
        <v>6.5440735169945761</v>
      </c>
    </row>
    <row r="11" spans="1:17">
      <c r="B11" s="153" t="s">
        <v>212</v>
      </c>
      <c r="C11" s="149">
        <v>4339.5783556200004</v>
      </c>
      <c r="D11" s="149">
        <v>4505.6569188000003</v>
      </c>
      <c r="E11" s="150">
        <v>2816.32213</v>
      </c>
      <c r="F11" s="151">
        <v>2051.1656733254326</v>
      </c>
      <c r="G11" s="151">
        <v>3249.622672770076</v>
      </c>
      <c r="H11" s="151">
        <v>2972.7482286382447</v>
      </c>
      <c r="I11" s="152">
        <v>3037.2463973543199</v>
      </c>
      <c r="J11" s="150">
        <v>1122.1211075631352</v>
      </c>
      <c r="K11" s="151">
        <v>1077.4156665799978</v>
      </c>
      <c r="L11" s="151">
        <v>1343.6497954152828</v>
      </c>
      <c r="M11" s="151">
        <v>1526.8610027947327</v>
      </c>
      <c r="N11" s="151">
        <v>1138.0736114901047</v>
      </c>
      <c r="O11" s="151">
        <v>511.14155872897658</v>
      </c>
      <c r="P11" s="151">
        <v>588.29644832697784</v>
      </c>
      <c r="Q11" s="151">
        <v>356.11664271640109</v>
      </c>
    </row>
    <row r="12" spans="1:17">
      <c r="B12" s="153" t="s">
        <v>148</v>
      </c>
      <c r="C12" s="149">
        <v>1085.20535995</v>
      </c>
      <c r="D12" s="149">
        <v>1265.7899872400001</v>
      </c>
      <c r="E12" s="150">
        <v>1298.5761466989277</v>
      </c>
      <c r="F12" s="151">
        <v>1298.5761466989277</v>
      </c>
      <c r="G12" s="151">
        <v>977.34338871910074</v>
      </c>
      <c r="H12" s="151">
        <v>1030.4902561689591</v>
      </c>
      <c r="I12" s="152">
        <v>1140.3945385685388</v>
      </c>
      <c r="J12" s="150">
        <v>1254.2442668730091</v>
      </c>
      <c r="K12" s="151">
        <v>1254.2442668730091</v>
      </c>
      <c r="L12" s="151">
        <v>464.79053167790607</v>
      </c>
      <c r="M12" s="151">
        <v>538.70138259396992</v>
      </c>
      <c r="N12" s="151">
        <v>1080.288380608808</v>
      </c>
      <c r="O12" s="151">
        <v>291.18841216917275</v>
      </c>
      <c r="P12" s="151">
        <v>432.31766318857439</v>
      </c>
      <c r="Q12" s="151">
        <v>920.60927026542629</v>
      </c>
    </row>
    <row r="13" spans="1:17">
      <c r="B13" s="153" t="s">
        <v>238</v>
      </c>
      <c r="C13" s="149">
        <v>278.85992994000003</v>
      </c>
      <c r="D13" s="149">
        <v>235.71456052000008</v>
      </c>
      <c r="E13" s="150">
        <v>210.47896</v>
      </c>
      <c r="F13" s="151">
        <v>132.94683779818163</v>
      </c>
      <c r="G13" s="151">
        <v>150.51010147375723</v>
      </c>
      <c r="H13" s="151">
        <v>113.5374073904318</v>
      </c>
      <c r="I13" s="152">
        <v>154.57208177434478</v>
      </c>
      <c r="J13" s="150">
        <v>36.77510415505791</v>
      </c>
      <c r="K13" s="151">
        <v>35.14694898267576</v>
      </c>
      <c r="L13" s="151">
        <v>59.792799192945374</v>
      </c>
      <c r="M13" s="151">
        <v>84.422526158883116</v>
      </c>
      <c r="N13" s="151">
        <v>22.470358603910377</v>
      </c>
      <c r="O13" s="151">
        <v>32.626408351732394</v>
      </c>
      <c r="P13" s="151">
        <v>31.161899515716158</v>
      </c>
      <c r="Q13" s="151">
        <v>1.6917680354530773</v>
      </c>
    </row>
    <row r="14" spans="1:17">
      <c r="B14" s="153" t="s">
        <v>123</v>
      </c>
      <c r="C14" s="149">
        <v>0</v>
      </c>
      <c r="D14" s="149">
        <v>0</v>
      </c>
      <c r="E14" s="150">
        <v>39.309730000000002</v>
      </c>
      <c r="F14" s="151">
        <v>39.309730000000002</v>
      </c>
      <c r="G14" s="151">
        <v>8.09874545461075</v>
      </c>
      <c r="H14" s="151">
        <v>42.621472174956054</v>
      </c>
      <c r="I14" s="152">
        <v>40.642184163780939</v>
      </c>
      <c r="J14" s="150">
        <v>328.32085069363035</v>
      </c>
      <c r="K14" s="151">
        <v>328.32085069363035</v>
      </c>
      <c r="L14" s="151"/>
      <c r="M14" s="151"/>
      <c r="N14" s="151">
        <v>160.30327991097869</v>
      </c>
      <c r="O14" s="151"/>
      <c r="P14" s="151"/>
      <c r="Q14" s="151">
        <v>449.43230971679208</v>
      </c>
    </row>
    <row r="15" spans="1:17">
      <c r="B15" s="153" t="s">
        <v>239</v>
      </c>
      <c r="C15" s="149">
        <v>524.94703160000006</v>
      </c>
      <c r="D15" s="149">
        <v>534.41049053000006</v>
      </c>
      <c r="E15" s="150">
        <v>373</v>
      </c>
      <c r="F15" s="151">
        <v>373.42403879283177</v>
      </c>
      <c r="G15" s="151">
        <v>474.35339125052542</v>
      </c>
      <c r="H15" s="151">
        <v>0</v>
      </c>
      <c r="I15" s="152">
        <v>0</v>
      </c>
      <c r="J15" s="150">
        <v>493</v>
      </c>
      <c r="K15" s="151">
        <v>493.28427777947201</v>
      </c>
      <c r="L15" s="151">
        <v>664.71798330174556</v>
      </c>
      <c r="M15" s="151">
        <v>606.55412652022824</v>
      </c>
      <c r="N15" s="151">
        <v>429.21120444772049</v>
      </c>
      <c r="O15" s="151">
        <v>597.25220359032585</v>
      </c>
      <c r="P15" s="151">
        <v>515.80499883747063</v>
      </c>
      <c r="Q15" s="151">
        <v>359.32195205382345</v>
      </c>
    </row>
    <row r="16" spans="1:17">
      <c r="B16" s="154" t="s">
        <v>240</v>
      </c>
      <c r="C16" s="155">
        <v>10973.51342345</v>
      </c>
      <c r="D16" s="155">
        <v>11389.239833760003</v>
      </c>
      <c r="E16" s="155">
        <v>9660.4501892242642</v>
      </c>
      <c r="F16" s="155">
        <v>8818.1856491407088</v>
      </c>
      <c r="G16" s="156">
        <v>8876.6011535624093</v>
      </c>
      <c r="H16" s="155">
        <v>8643.6129464712176</v>
      </c>
      <c r="I16" s="155">
        <v>8231.4171972386994</v>
      </c>
      <c r="J16" s="155">
        <v>8271.8343814372092</v>
      </c>
      <c r="K16" s="155">
        <v>8225.7850630611611</v>
      </c>
      <c r="L16" s="155">
        <v>7881.9612884510452</v>
      </c>
      <c r="M16" s="155">
        <v>8585.8335603025025</v>
      </c>
      <c r="N16" s="155">
        <v>7026.1823419431284</v>
      </c>
      <c r="O16" s="155">
        <v>6816.9440303882075</v>
      </c>
      <c r="P16" s="155">
        <v>7458.4982540244355</v>
      </c>
      <c r="Q16" s="155">
        <v>6449.5697571724704</v>
      </c>
    </row>
    <row r="19" spans="1:17">
      <c r="A19" s="540" t="s">
        <v>241</v>
      </c>
      <c r="B19" s="243" t="s">
        <v>242</v>
      </c>
      <c r="C19" s="565">
        <f t="shared" ref="C19:Q19" si="0">C8/C16</f>
        <v>0.22326162699309365</v>
      </c>
      <c r="D19" s="482">
        <f t="shared" si="0"/>
        <v>0.21764802377610859</v>
      </c>
      <c r="E19" s="482">
        <f t="shared" si="0"/>
        <v>0.3055401439105393</v>
      </c>
      <c r="F19" s="276">
        <f t="shared" si="0"/>
        <v>0.33472365614618277</v>
      </c>
      <c r="G19" s="278">
        <f t="shared" si="0"/>
        <v>0.31459282965235441</v>
      </c>
      <c r="H19" s="482">
        <f t="shared" si="0"/>
        <v>0.32237857951487447</v>
      </c>
      <c r="I19" s="482">
        <f t="shared" si="0"/>
        <v>0.33294836069492112</v>
      </c>
      <c r="J19" s="482">
        <f t="shared" si="0"/>
        <v>0.41557270954469061</v>
      </c>
      <c r="K19" s="276">
        <f t="shared" si="0"/>
        <v>0.41789915496765173</v>
      </c>
      <c r="L19" s="276">
        <f t="shared" si="0"/>
        <v>0.46111717384840278</v>
      </c>
      <c r="M19" s="276">
        <f t="shared" si="0"/>
        <v>0.37704731463258129</v>
      </c>
      <c r="N19" s="566">
        <f t="shared" si="0"/>
        <v>0.47449740099444448</v>
      </c>
      <c r="O19" s="567">
        <f t="shared" si="0"/>
        <v>0.57676958224446406</v>
      </c>
      <c r="P19" s="482">
        <f t="shared" si="0"/>
        <v>0.46723438499726511</v>
      </c>
      <c r="Q19" s="566">
        <f t="shared" si="0"/>
        <v>0.57289345932398328</v>
      </c>
    </row>
    <row r="20" spans="1:17">
      <c r="A20" s="541"/>
      <c r="B20" s="243" t="s">
        <v>243</v>
      </c>
      <c r="C20" s="232"/>
      <c r="D20" s="232"/>
      <c r="E20" s="232"/>
      <c r="F20" s="232"/>
      <c r="G20" s="277">
        <v>0.33</v>
      </c>
      <c r="H20" s="232"/>
      <c r="I20" s="232"/>
      <c r="J20" s="232"/>
      <c r="K20" s="232"/>
      <c r="L20" s="232"/>
      <c r="M20" s="232"/>
      <c r="N20" s="279">
        <v>0.51</v>
      </c>
      <c r="O20" s="232"/>
      <c r="P20" s="232"/>
      <c r="Q20" s="279">
        <v>0.62</v>
      </c>
    </row>
    <row r="21" spans="1:17">
      <c r="B21" s="243"/>
      <c r="D21" s="563"/>
      <c r="F21" s="568"/>
      <c r="K21" s="568"/>
      <c r="N21" s="568"/>
      <c r="O21" s="563"/>
      <c r="P21" s="563"/>
      <c r="Q21" s="563"/>
    </row>
    <row r="22" spans="1:17">
      <c r="B22" s="157" t="s">
        <v>244</v>
      </c>
    </row>
    <row r="23" spans="1:17">
      <c r="B23" s="157" t="s">
        <v>245</v>
      </c>
    </row>
    <row r="24" spans="1:17">
      <c r="B24" s="157" t="s">
        <v>246</v>
      </c>
    </row>
    <row r="25" spans="1:17">
      <c r="B25" s="157" t="s">
        <v>247</v>
      </c>
    </row>
    <row r="26" spans="1:17">
      <c r="B26" s="157" t="s">
        <v>248</v>
      </c>
    </row>
    <row r="32" spans="1:17" s="111" customFormat="1">
      <c r="A32" s="113" t="s">
        <v>188</v>
      </c>
      <c r="B32" s="113"/>
      <c r="C32" s="112"/>
      <c r="D32" s="112"/>
      <c r="E32" s="112"/>
      <c r="F32" s="112"/>
      <c r="G32" s="112"/>
      <c r="H32" s="112"/>
      <c r="I32" s="112"/>
    </row>
    <row r="33" spans="1:15">
      <c r="A33" s="311"/>
      <c r="B33" s="311"/>
      <c r="C33" s="44"/>
      <c r="D33" s="44"/>
      <c r="E33" s="44"/>
      <c r="F33" s="44"/>
      <c r="G33" s="44"/>
      <c r="H33" s="44"/>
      <c r="I33" s="44"/>
    </row>
    <row r="34" spans="1:15">
      <c r="A34" s="100" t="s">
        <v>249</v>
      </c>
      <c r="B34" s="311"/>
      <c r="C34" s="44"/>
      <c r="D34" s="44"/>
      <c r="E34" s="44"/>
      <c r="F34" s="44"/>
      <c r="G34" s="44"/>
      <c r="H34" s="44"/>
      <c r="I34" s="44"/>
    </row>
    <row r="35" spans="1:15" ht="33.6">
      <c r="A35" s="180"/>
      <c r="B35" s="180"/>
      <c r="C35" s="180" t="s">
        <v>208</v>
      </c>
      <c r="D35" s="180" t="s">
        <v>86</v>
      </c>
      <c r="E35" s="180" t="s">
        <v>193</v>
      </c>
      <c r="F35" s="180" t="s">
        <v>83</v>
      </c>
      <c r="G35" s="180" t="s">
        <v>148</v>
      </c>
      <c r="H35" s="180" t="s">
        <v>139</v>
      </c>
      <c r="I35" s="180" t="s">
        <v>123</v>
      </c>
      <c r="J35" s="180" t="s">
        <v>250</v>
      </c>
      <c r="K35" s="294" t="s">
        <v>251</v>
      </c>
      <c r="M35" s="110" t="s">
        <v>252</v>
      </c>
      <c r="N35" s="294" t="s">
        <v>253</v>
      </c>
      <c r="O35" s="243" t="s">
        <v>218</v>
      </c>
    </row>
    <row r="36" spans="1:15">
      <c r="A36" s="180">
        <v>2015</v>
      </c>
      <c r="B36" s="180"/>
      <c r="C36" s="181">
        <v>210.65902499999999</v>
      </c>
      <c r="D36" s="181">
        <v>0</v>
      </c>
      <c r="E36" s="181">
        <v>197.33089299999997</v>
      </c>
      <c r="F36" s="181">
        <v>373.136574</v>
      </c>
      <c r="G36" s="181">
        <v>93.310864999999993</v>
      </c>
      <c r="H36" s="181">
        <v>23.977637999999999</v>
      </c>
      <c r="I36" s="181">
        <v>0</v>
      </c>
      <c r="J36" s="181">
        <v>45.137320000000003</v>
      </c>
      <c r="K36" s="35">
        <f>SUM(C36:J36)</f>
        <v>943.55231500000002</v>
      </c>
      <c r="M36" s="118">
        <f>C36*11.63</f>
        <v>2449.9644607499999</v>
      </c>
      <c r="N36" s="118">
        <f>K36*11.63</f>
        <v>10973.51342345</v>
      </c>
      <c r="O36" s="569">
        <f>M36/N36</f>
        <v>0.22326162699309365</v>
      </c>
    </row>
    <row r="37" spans="1:15">
      <c r="A37" s="180">
        <v>2019</v>
      </c>
      <c r="B37" s="180"/>
      <c r="C37" s="181">
        <v>213.14235099999999</v>
      </c>
      <c r="D37" s="181">
        <v>0</v>
      </c>
      <c r="E37" s="181">
        <v>203.68205800000001</v>
      </c>
      <c r="F37" s="181">
        <v>387.41676000000001</v>
      </c>
      <c r="G37" s="181">
        <v>108.838348</v>
      </c>
      <c r="H37" s="181">
        <v>20.267804000000005</v>
      </c>
      <c r="I37" s="181">
        <v>0</v>
      </c>
      <c r="J37" s="181">
        <v>45.951031</v>
      </c>
      <c r="K37" s="35">
        <f>SUM(C37:J37)</f>
        <v>979.29835200000002</v>
      </c>
      <c r="M37" s="118">
        <f t="shared" ref="M37:M46" si="1">C37*11.63</f>
        <v>2478.84554213</v>
      </c>
      <c r="N37" s="118">
        <f t="shared" ref="N37:N46" si="2">K37*11.63</f>
        <v>11389.239833760001</v>
      </c>
      <c r="O37" s="570">
        <f t="shared" ref="O37:O45" si="3">M37/N37</f>
        <v>0.21764802377610862</v>
      </c>
    </row>
    <row r="38" spans="1:15">
      <c r="A38" s="180">
        <v>2030</v>
      </c>
      <c r="B38" s="180"/>
      <c r="C38" s="181">
        <v>240.11307606144038</v>
      </c>
      <c r="D38" s="181">
        <v>3.286420793942018</v>
      </c>
      <c r="E38" s="181">
        <v>101.9722016737952</v>
      </c>
      <c r="F38" s="181">
        <v>279.41725475237109</v>
      </c>
      <c r="G38" s="181">
        <v>84.036404876964809</v>
      </c>
      <c r="H38" s="181">
        <v>12.941539249678179</v>
      </c>
      <c r="I38" s="181">
        <v>0.69636676307917023</v>
      </c>
      <c r="J38" s="181">
        <v>40.787049978549042</v>
      </c>
      <c r="K38" s="35">
        <f t="shared" ref="K38:K46" si="4">SUM(C38:J38)</f>
        <v>763.2503141498197</v>
      </c>
      <c r="M38" s="118">
        <f t="shared" si="1"/>
        <v>2792.5150745945516</v>
      </c>
      <c r="N38" s="118">
        <f t="shared" si="2"/>
        <v>8876.6011535624039</v>
      </c>
      <c r="O38" s="570">
        <f t="shared" si="3"/>
        <v>0.31459282965235458</v>
      </c>
    </row>
    <row r="39" spans="1:15">
      <c r="A39" s="180">
        <v>2040</v>
      </c>
      <c r="B39" s="180" t="s">
        <v>198</v>
      </c>
      <c r="C39" s="181">
        <v>279.25894070644188</v>
      </c>
      <c r="D39" s="181">
        <v>26.118983795397785</v>
      </c>
      <c r="E39" s="181">
        <v>73.997768959826885</v>
      </c>
      <c r="F39" s="181">
        <v>110.86378100958555</v>
      </c>
      <c r="G39" s="181">
        <v>87.507792658336669</v>
      </c>
      <c r="H39" s="181">
        <v>3.0053189456638139</v>
      </c>
      <c r="I39" s="181">
        <v>5.3910966673008351</v>
      </c>
      <c r="J39" s="181">
        <v>37.61276421290848</v>
      </c>
      <c r="K39" s="35">
        <f t="shared" si="4"/>
        <v>623.75644695546202</v>
      </c>
      <c r="M39" s="118">
        <f t="shared" si="1"/>
        <v>3247.7814804159193</v>
      </c>
      <c r="N39" s="118">
        <f t="shared" si="2"/>
        <v>7254.2874780920238</v>
      </c>
      <c r="O39" s="569">
        <f t="shared" si="3"/>
        <v>0.44770509718897022</v>
      </c>
    </row>
    <row r="40" spans="1:15">
      <c r="A40" s="180"/>
      <c r="B40" s="180" t="s">
        <v>199</v>
      </c>
      <c r="C40" s="181">
        <v>285.73833061986102</v>
      </c>
      <c r="D40" s="181">
        <v>30.574162462916632</v>
      </c>
      <c r="E40" s="181">
        <v>54.122403996328288</v>
      </c>
      <c r="F40" s="181">
        <v>103.9725579191476</v>
      </c>
      <c r="G40" s="181">
        <v>92.676607810123102</v>
      </c>
      <c r="H40" s="181">
        <v>2.306422465635003</v>
      </c>
      <c r="I40" s="181">
        <v>8.1697450153745059</v>
      </c>
      <c r="J40" s="181">
        <v>37.844287145699191</v>
      </c>
      <c r="K40" s="35">
        <f t="shared" si="4"/>
        <v>615.40451743508538</v>
      </c>
      <c r="M40" s="118">
        <f t="shared" si="1"/>
        <v>3323.136785108984</v>
      </c>
      <c r="N40" s="118">
        <f t="shared" si="2"/>
        <v>7157.1545377700431</v>
      </c>
      <c r="O40" s="569">
        <f t="shared" si="3"/>
        <v>0.46430977109296495</v>
      </c>
    </row>
    <row r="41" spans="1:15">
      <c r="A41" s="180"/>
      <c r="B41" s="180" t="s">
        <v>200</v>
      </c>
      <c r="C41" s="181">
        <v>286.66425280869078</v>
      </c>
      <c r="D41" s="181">
        <v>34.013701522615222</v>
      </c>
      <c r="E41" s="181">
        <v>40.098959416037587</v>
      </c>
      <c r="F41" s="181">
        <v>97.856716379200748</v>
      </c>
      <c r="G41" s="181">
        <v>92.888080877799467</v>
      </c>
      <c r="H41" s="181">
        <v>1.932103061385243</v>
      </c>
      <c r="I41" s="181">
        <v>13.783601024159816</v>
      </c>
      <c r="J41" s="181">
        <v>36.905520588797977</v>
      </c>
      <c r="K41" s="35">
        <f t="shared" si="4"/>
        <v>604.14293567868685</v>
      </c>
      <c r="M41" s="118">
        <f t="shared" si="1"/>
        <v>3333.9052601650737</v>
      </c>
      <c r="N41" s="118">
        <f t="shared" si="2"/>
        <v>7026.1823419431284</v>
      </c>
      <c r="O41" s="570">
        <f t="shared" si="3"/>
        <v>0.47449740099444448</v>
      </c>
    </row>
    <row r="42" spans="1:15">
      <c r="A42" s="180"/>
      <c r="B42" s="180" t="s">
        <v>201</v>
      </c>
      <c r="C42" s="181">
        <v>277.31172437203287</v>
      </c>
      <c r="D42" s="181">
        <v>30.688657472258061</v>
      </c>
      <c r="E42" s="181">
        <v>51.411164804405068</v>
      </c>
      <c r="F42" s="181">
        <v>95.728565680828495</v>
      </c>
      <c r="G42" s="181">
        <v>88.865636625455863</v>
      </c>
      <c r="H42" s="181">
        <v>2.092696001941539</v>
      </c>
      <c r="I42" s="181">
        <v>9.4699049148825161</v>
      </c>
      <c r="J42" s="181">
        <v>35.744895713064423</v>
      </c>
      <c r="K42" s="35">
        <f t="shared" si="4"/>
        <v>591.31324558486892</v>
      </c>
      <c r="M42" s="118">
        <f t="shared" si="1"/>
        <v>3225.1353544467424</v>
      </c>
      <c r="N42" s="118">
        <f t="shared" si="2"/>
        <v>6876.9730461520257</v>
      </c>
      <c r="O42" s="569">
        <f t="shared" si="3"/>
        <v>0.46897600627522457</v>
      </c>
    </row>
    <row r="43" spans="1:15">
      <c r="A43" s="180">
        <v>2050</v>
      </c>
      <c r="B43" s="180" t="s">
        <v>198</v>
      </c>
      <c r="C43" s="181">
        <v>315.13483965148839</v>
      </c>
      <c r="D43" s="181">
        <v>53.650084740657768</v>
      </c>
      <c r="E43" s="181">
        <v>0.59860378747428333</v>
      </c>
      <c r="F43" s="181">
        <v>35.309539984916626</v>
      </c>
      <c r="G43" s="181">
        <v>81.713075204204955</v>
      </c>
      <c r="H43" s="181">
        <v>0.1331308422521118</v>
      </c>
      <c r="I43" s="181">
        <v>43.418622572606694</v>
      </c>
      <c r="J43" s="181">
        <v>30.339083121558939</v>
      </c>
      <c r="K43" s="35">
        <f t="shared" si="4"/>
        <v>560.29697990515979</v>
      </c>
      <c r="M43" s="118">
        <f t="shared" si="1"/>
        <v>3665.0181851468101</v>
      </c>
      <c r="N43" s="118">
        <f t="shared" si="2"/>
        <v>6516.2538762970089</v>
      </c>
      <c r="O43" s="569">
        <f t="shared" si="3"/>
        <v>0.56244250987187283</v>
      </c>
    </row>
    <row r="44" spans="1:15">
      <c r="A44" s="180"/>
      <c r="B44" s="180" t="s">
        <v>199</v>
      </c>
      <c r="C44" s="181">
        <v>317.82814760477436</v>
      </c>
      <c r="D44" s="181">
        <v>56.451659712611068</v>
      </c>
      <c r="E44" s="181">
        <v>0.60640497254709402</v>
      </c>
      <c r="F44" s="181">
        <v>31.12941141473096</v>
      </c>
      <c r="G44" s="181">
        <v>80.364086297070514</v>
      </c>
      <c r="H44" s="181">
        <v>0.13533769136776669</v>
      </c>
      <c r="I44" s="181">
        <v>42.095325836124609</v>
      </c>
      <c r="J44" s="181">
        <v>31.037632602508459</v>
      </c>
      <c r="K44" s="35">
        <f t="shared" si="4"/>
        <v>559.64800613173475</v>
      </c>
      <c r="M44" s="118">
        <f t="shared" si="1"/>
        <v>3696.3413566435261</v>
      </c>
      <c r="N44" s="118">
        <f t="shared" si="2"/>
        <v>6508.7063113120757</v>
      </c>
      <c r="O44" s="569">
        <f t="shared" si="3"/>
        <v>0.56790722761899959</v>
      </c>
    </row>
    <row r="45" spans="1:15">
      <c r="A45" s="180"/>
      <c r="B45" s="180" t="s">
        <v>200</v>
      </c>
      <c r="C45" s="181">
        <v>317.70561731194147</v>
      </c>
      <c r="D45" s="181">
        <v>56.830387921728416</v>
      </c>
      <c r="E45" s="181">
        <v>0.56268903843461526</v>
      </c>
      <c r="F45" s="181">
        <v>30.620519580086075</v>
      </c>
      <c r="G45" s="181">
        <v>79.158148776046971</v>
      </c>
      <c r="H45" s="181">
        <v>0.14546586719286991</v>
      </c>
      <c r="I45" s="181">
        <v>38.644222675562517</v>
      </c>
      <c r="J45" s="181">
        <v>30.896126573845521</v>
      </c>
      <c r="K45" s="35">
        <f t="shared" si="4"/>
        <v>554.56317774483841</v>
      </c>
      <c r="M45" s="118">
        <f t="shared" si="1"/>
        <v>3694.9163293378797</v>
      </c>
      <c r="N45" s="118">
        <f t="shared" si="2"/>
        <v>6449.5697571724713</v>
      </c>
      <c r="O45" s="570">
        <f t="shared" si="3"/>
        <v>0.57289345932398328</v>
      </c>
    </row>
    <row r="46" spans="1:15">
      <c r="A46" s="180"/>
      <c r="B46" s="180" t="s">
        <v>201</v>
      </c>
      <c r="C46" s="181">
        <v>301.20068222360095</v>
      </c>
      <c r="D46" s="181">
        <v>52.564485699275977</v>
      </c>
      <c r="E46" s="181">
        <v>7.0764569874462069</v>
      </c>
      <c r="F46" s="181">
        <v>26.420343853764543</v>
      </c>
      <c r="G46" s="181">
        <v>74.468612472030415</v>
      </c>
      <c r="H46" s="181">
        <v>0.1194372282565913</v>
      </c>
      <c r="I46" s="181">
        <v>33.484777456309047</v>
      </c>
      <c r="J46" s="181">
        <v>28.68179651216596</v>
      </c>
      <c r="K46" s="35">
        <f t="shared" si="4"/>
        <v>524.01659243284973</v>
      </c>
      <c r="M46" s="118">
        <f t="shared" si="1"/>
        <v>3502.9639342604792</v>
      </c>
      <c r="N46" s="118">
        <f t="shared" si="2"/>
        <v>6094.3129699940428</v>
      </c>
      <c r="O46" s="569">
        <f>M46/N46</f>
        <v>0.57479226149160223</v>
      </c>
    </row>
    <row r="47" spans="1:15">
      <c r="A47" s="106" t="s">
        <v>204</v>
      </c>
      <c r="B47" s="311"/>
      <c r="C47" s="44"/>
      <c r="D47" s="44"/>
      <c r="E47" s="44"/>
      <c r="F47" s="44"/>
      <c r="G47" s="44"/>
      <c r="H47" s="44"/>
      <c r="I47" s="44"/>
    </row>
    <row r="48" spans="1:15">
      <c r="A48" s="311"/>
      <c r="B48" s="311"/>
      <c r="C48" s="44"/>
      <c r="D48" s="44"/>
      <c r="E48" s="44"/>
      <c r="F48" s="44"/>
      <c r="G48" s="44"/>
      <c r="H48" s="44"/>
      <c r="I48" s="44"/>
    </row>
    <row r="49" spans="1:9">
      <c r="A49" s="312" t="s">
        <v>254</v>
      </c>
      <c r="B49" s="311"/>
      <c r="C49" s="44"/>
      <c r="D49" s="44"/>
      <c r="E49" s="44"/>
      <c r="F49" s="44"/>
      <c r="G49" s="44"/>
      <c r="H49" s="44"/>
      <c r="I49" s="44"/>
    </row>
    <row r="50" spans="1:9">
      <c r="A50" s="311"/>
      <c r="B50" s="311"/>
      <c r="C50" s="44"/>
      <c r="D50" s="44"/>
      <c r="E50" s="44"/>
      <c r="F50" s="44"/>
      <c r="G50" s="44"/>
      <c r="H50" s="44"/>
      <c r="I50" s="44"/>
    </row>
    <row r="51" spans="1:9">
      <c r="A51" s="311"/>
      <c r="B51" s="311"/>
      <c r="C51" s="44"/>
      <c r="D51" s="44"/>
      <c r="E51" s="44"/>
      <c r="F51" s="44"/>
      <c r="G51" s="44"/>
      <c r="H51" s="44"/>
      <c r="I51" s="44"/>
    </row>
    <row r="52" spans="1:9">
      <c r="A52" s="311"/>
      <c r="B52" s="311"/>
      <c r="C52" s="44"/>
      <c r="D52" s="44"/>
      <c r="E52" s="44"/>
      <c r="F52" s="44"/>
      <c r="G52" s="44"/>
      <c r="H52" s="44"/>
      <c r="I52" s="44"/>
    </row>
    <row r="53" spans="1:9">
      <c r="A53" s="311"/>
      <c r="B53" s="311"/>
      <c r="C53" s="44"/>
      <c r="D53" s="44"/>
      <c r="E53" s="44"/>
      <c r="F53" s="44"/>
      <c r="G53" s="44"/>
      <c r="H53" s="44"/>
      <c r="I53" s="44"/>
    </row>
    <row r="54" spans="1:9">
      <c r="A54" s="311"/>
      <c r="B54" s="311"/>
      <c r="C54" s="44"/>
      <c r="D54" s="44"/>
      <c r="E54" s="44"/>
      <c r="F54" s="44"/>
      <c r="G54" s="44"/>
      <c r="H54" s="44"/>
      <c r="I54" s="44"/>
    </row>
    <row r="84" spans="1:5">
      <c r="C84" s="22">
        <v>2030</v>
      </c>
      <c r="D84" s="22">
        <v>2040</v>
      </c>
      <c r="E84" s="22">
        <v>2050</v>
      </c>
    </row>
    <row r="92" spans="1:5">
      <c r="A92" s="243"/>
    </row>
    <row r="96" spans="1:5">
      <c r="B96" s="243"/>
      <c r="C96" s="118"/>
      <c r="D96" s="118"/>
      <c r="E96" s="118"/>
    </row>
    <row r="97" spans="2:5">
      <c r="B97" s="243"/>
      <c r="C97" s="249"/>
      <c r="D97" s="249"/>
      <c r="E97" s="249"/>
    </row>
  </sheetData>
  <mergeCells count="6">
    <mergeCell ref="A19:A20"/>
    <mergeCell ref="B5:Q5"/>
    <mergeCell ref="B6:B7"/>
    <mergeCell ref="E6:I6"/>
    <mergeCell ref="J6:N6"/>
    <mergeCell ref="O6:Q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6EA0-5F9B-43A4-840D-CB0A8FD0575B}">
  <sheetPr>
    <tabColor rgb="FF92D050"/>
  </sheetPr>
  <dimension ref="A1:AJ65"/>
  <sheetViews>
    <sheetView topLeftCell="A7" zoomScale="56" zoomScaleNormal="56" workbookViewId="0">
      <selection activeCell="B46" sqref="B46"/>
    </sheetView>
  </sheetViews>
  <sheetFormatPr defaultColWidth="9.28515625" defaultRowHeight="16.899999999999999"/>
  <cols>
    <col min="1" max="1" width="10.85546875" style="22" customWidth="1"/>
    <col min="2" max="2" width="64.28515625" style="22" customWidth="1"/>
    <col min="3" max="3" width="9.42578125" style="22" bestFit="1" customWidth="1"/>
    <col min="4" max="4" width="10.28515625" style="1" customWidth="1"/>
    <col min="5" max="9" width="9.28515625" style="22"/>
    <col min="10" max="11" width="9.28515625" style="44"/>
    <col min="12" max="33" width="9.28515625" style="22"/>
    <col min="34" max="34" width="13.7109375" style="22" customWidth="1"/>
    <col min="35" max="35" width="15.5703125" style="22" customWidth="1"/>
    <col min="36" max="36" width="42.140625" style="22" customWidth="1"/>
    <col min="37" max="38" width="9.28515625" style="22"/>
    <col min="39" max="81" width="0" style="22" hidden="1" customWidth="1"/>
    <col min="82" max="16384" width="9.28515625" style="22"/>
  </cols>
  <sheetData>
    <row r="1" spans="1:33">
      <c r="E1" s="1"/>
      <c r="F1" s="1"/>
    </row>
    <row r="2" spans="1:33" s="309" customFormat="1">
      <c r="A2" s="304" t="s">
        <v>255</v>
      </c>
      <c r="C2" s="310"/>
      <c r="D2" s="310"/>
      <c r="E2" s="310"/>
      <c r="F2" s="310"/>
      <c r="G2" s="310"/>
      <c r="H2" s="310"/>
      <c r="I2" s="310"/>
    </row>
    <row r="3" spans="1:33">
      <c r="E3" s="1"/>
      <c r="F3" s="1"/>
    </row>
    <row r="4" spans="1:33">
      <c r="B4" s="1" t="s">
        <v>256</v>
      </c>
      <c r="I4" s="37"/>
    </row>
    <row r="6" spans="1:33">
      <c r="B6" s="313"/>
      <c r="C6" s="314">
        <v>2020</v>
      </c>
      <c r="D6" s="318">
        <v>2021</v>
      </c>
      <c r="E6" s="314">
        <v>2022</v>
      </c>
      <c r="F6" s="314">
        <v>2023</v>
      </c>
      <c r="G6" s="314">
        <v>2024</v>
      </c>
      <c r="H6" s="314">
        <v>2025</v>
      </c>
      <c r="I6" s="314">
        <v>2026</v>
      </c>
      <c r="J6" s="314">
        <v>2027</v>
      </c>
      <c r="K6" s="314">
        <v>2028</v>
      </c>
      <c r="L6" s="314">
        <v>2029</v>
      </c>
      <c r="M6" s="314">
        <v>2030</v>
      </c>
      <c r="N6" s="314">
        <v>2031</v>
      </c>
      <c r="O6" s="314">
        <v>2032</v>
      </c>
      <c r="P6" s="314">
        <v>2033</v>
      </c>
      <c r="Q6" s="314">
        <v>2034</v>
      </c>
      <c r="R6" s="314">
        <v>2035</v>
      </c>
      <c r="S6" s="314">
        <v>2036</v>
      </c>
      <c r="T6" s="314">
        <v>2037</v>
      </c>
      <c r="U6" s="314">
        <v>2038</v>
      </c>
      <c r="V6" s="314">
        <v>2039</v>
      </c>
      <c r="W6" s="314">
        <v>2040</v>
      </c>
      <c r="X6" s="314">
        <v>2041</v>
      </c>
      <c r="Y6" s="314">
        <v>2042</v>
      </c>
      <c r="Z6" s="314">
        <v>2043</v>
      </c>
      <c r="AA6" s="314">
        <v>2044</v>
      </c>
      <c r="AB6" s="314">
        <v>2045</v>
      </c>
      <c r="AC6" s="314">
        <v>2046</v>
      </c>
      <c r="AD6" s="314">
        <v>2047</v>
      </c>
      <c r="AE6" s="314">
        <v>2048</v>
      </c>
      <c r="AF6" s="314">
        <v>2049</v>
      </c>
      <c r="AG6" s="318">
        <v>2050</v>
      </c>
    </row>
    <row r="7" spans="1:33">
      <c r="B7" s="313" t="s">
        <v>257</v>
      </c>
      <c r="C7" s="314"/>
      <c r="D7" s="318"/>
      <c r="E7" s="314"/>
      <c r="F7" s="314"/>
      <c r="G7" s="314"/>
      <c r="H7" s="314"/>
      <c r="I7" s="314"/>
      <c r="J7" s="314"/>
      <c r="K7" s="314"/>
      <c r="L7" s="314"/>
      <c r="M7" s="317">
        <v>1598</v>
      </c>
      <c r="N7" s="317">
        <v>3103</v>
      </c>
      <c r="O7" s="317">
        <v>4516</v>
      </c>
      <c r="P7" s="317">
        <v>5837</v>
      </c>
      <c r="Q7" s="317">
        <v>7066</v>
      </c>
      <c r="R7" s="317">
        <v>8203</v>
      </c>
      <c r="S7" s="317">
        <v>9248</v>
      </c>
      <c r="T7" s="317">
        <v>10201</v>
      </c>
      <c r="U7" s="317">
        <v>11061</v>
      </c>
      <c r="V7" s="317">
        <v>11829</v>
      </c>
      <c r="W7" s="317">
        <v>12505</v>
      </c>
      <c r="X7" s="317">
        <v>13129</v>
      </c>
      <c r="Y7" s="317">
        <v>13701</v>
      </c>
      <c r="Z7" s="317">
        <v>14221</v>
      </c>
      <c r="AA7" s="317">
        <v>14688</v>
      </c>
      <c r="AB7" s="317">
        <v>15103</v>
      </c>
      <c r="AC7" s="317">
        <v>15465</v>
      </c>
      <c r="AD7" s="317">
        <v>15776</v>
      </c>
      <c r="AE7" s="317">
        <v>16034</v>
      </c>
      <c r="AF7" s="317">
        <v>16240</v>
      </c>
      <c r="AG7" s="315">
        <v>16394</v>
      </c>
    </row>
    <row r="8" spans="1:33">
      <c r="B8" s="313" t="s">
        <v>258</v>
      </c>
      <c r="C8" s="314"/>
      <c r="D8" s="318"/>
      <c r="E8" s="314"/>
      <c r="F8" s="314"/>
      <c r="G8" s="314"/>
      <c r="H8" s="314"/>
      <c r="I8" s="314"/>
      <c r="J8" s="314"/>
      <c r="K8" s="314"/>
      <c r="L8" s="314"/>
      <c r="M8" s="317">
        <v>541</v>
      </c>
      <c r="N8" s="317">
        <v>1063</v>
      </c>
      <c r="O8" s="317">
        <v>1567</v>
      </c>
      <c r="P8" s="317">
        <v>2053</v>
      </c>
      <c r="Q8" s="317">
        <v>2519</v>
      </c>
      <c r="R8" s="317">
        <v>2967</v>
      </c>
      <c r="S8" s="317">
        <v>3397</v>
      </c>
      <c r="T8" s="317">
        <v>3808</v>
      </c>
      <c r="U8" s="317">
        <v>4200</v>
      </c>
      <c r="V8" s="317">
        <v>4574</v>
      </c>
      <c r="W8" s="317">
        <v>4929</v>
      </c>
      <c r="X8" s="317">
        <v>5279</v>
      </c>
      <c r="Y8" s="317">
        <v>5624</v>
      </c>
      <c r="Z8" s="317">
        <v>5964</v>
      </c>
      <c r="AA8" s="317">
        <v>6299</v>
      </c>
      <c r="AB8" s="317">
        <v>6628</v>
      </c>
      <c r="AC8" s="317">
        <v>6952</v>
      </c>
      <c r="AD8" s="317">
        <v>7272</v>
      </c>
      <c r="AE8" s="317">
        <v>7586</v>
      </c>
      <c r="AF8" s="317">
        <v>7895</v>
      </c>
      <c r="AG8" s="315">
        <v>8198</v>
      </c>
    </row>
    <row r="9" spans="1:33">
      <c r="B9" s="313" t="s">
        <v>120</v>
      </c>
      <c r="C9" s="314"/>
      <c r="D9" s="318"/>
      <c r="E9" s="314"/>
      <c r="F9" s="314"/>
      <c r="G9" s="314"/>
      <c r="H9" s="314"/>
      <c r="I9" s="314"/>
      <c r="J9" s="314"/>
      <c r="K9" s="314"/>
      <c r="L9" s="314"/>
      <c r="M9" s="317">
        <v>-240</v>
      </c>
      <c r="N9" s="317">
        <v>-487</v>
      </c>
      <c r="O9" s="317">
        <v>-743</v>
      </c>
      <c r="P9" s="317">
        <v>-1006</v>
      </c>
      <c r="Q9" s="317">
        <v>-1276</v>
      </c>
      <c r="R9" s="317">
        <v>-1555</v>
      </c>
      <c r="S9" s="317">
        <v>-1841</v>
      </c>
      <c r="T9" s="317">
        <v>-2135</v>
      </c>
      <c r="U9" s="317">
        <v>-2436</v>
      </c>
      <c r="V9" s="317">
        <v>-2745</v>
      </c>
      <c r="W9" s="317">
        <v>-3062</v>
      </c>
      <c r="X9" s="317">
        <v>-3381</v>
      </c>
      <c r="Y9" s="317">
        <v>-3701</v>
      </c>
      <c r="Z9" s="317">
        <v>-4023</v>
      </c>
      <c r="AA9" s="317">
        <v>-4346</v>
      </c>
      <c r="AB9" s="317">
        <v>-4671</v>
      </c>
      <c r="AC9" s="317">
        <v>-4998</v>
      </c>
      <c r="AD9" s="317">
        <v>-5326</v>
      </c>
      <c r="AE9" s="317">
        <v>-5656</v>
      </c>
      <c r="AF9" s="317">
        <v>-5987</v>
      </c>
      <c r="AG9" s="315">
        <v>-6320</v>
      </c>
    </row>
    <row r="10" spans="1:33">
      <c r="B10" s="313" t="s">
        <v>121</v>
      </c>
      <c r="C10" s="314"/>
      <c r="D10" s="318"/>
      <c r="E10" s="314"/>
      <c r="F10" s="314"/>
      <c r="G10" s="314"/>
      <c r="H10" s="314"/>
      <c r="I10" s="314"/>
      <c r="J10" s="314"/>
      <c r="K10" s="314"/>
      <c r="L10" s="314"/>
      <c r="M10" s="317">
        <v>-60</v>
      </c>
      <c r="N10" s="317">
        <v>-126</v>
      </c>
      <c r="O10" s="317">
        <v>-198</v>
      </c>
      <c r="P10" s="317">
        <v>-276</v>
      </c>
      <c r="Q10" s="317">
        <v>-360</v>
      </c>
      <c r="R10" s="317">
        <v>-450</v>
      </c>
      <c r="S10" s="317">
        <v>-546</v>
      </c>
      <c r="T10" s="317">
        <v>-648</v>
      </c>
      <c r="U10" s="317">
        <v>-756</v>
      </c>
      <c r="V10" s="317">
        <v>-870</v>
      </c>
      <c r="W10" s="317">
        <v>-990</v>
      </c>
      <c r="X10" s="317">
        <v>-1113</v>
      </c>
      <c r="Y10" s="317">
        <v>-1239</v>
      </c>
      <c r="Z10" s="317">
        <v>-1368</v>
      </c>
      <c r="AA10" s="317">
        <v>-1500</v>
      </c>
      <c r="AB10" s="317">
        <v>-1635</v>
      </c>
      <c r="AC10" s="317">
        <v>-1773</v>
      </c>
      <c r="AD10" s="317">
        <v>-1914</v>
      </c>
      <c r="AE10" s="317">
        <v>-2058</v>
      </c>
      <c r="AF10" s="317">
        <v>-2205</v>
      </c>
      <c r="AG10" s="315">
        <v>-2355</v>
      </c>
    </row>
    <row r="11" spans="1:33">
      <c r="B11" s="313" t="s">
        <v>259</v>
      </c>
      <c r="C11" s="314"/>
      <c r="D11" s="318"/>
      <c r="E11" s="314"/>
      <c r="F11" s="314"/>
      <c r="G11" s="314"/>
      <c r="H11" s="314"/>
      <c r="I11" s="314"/>
      <c r="J11" s="314"/>
      <c r="K11" s="314"/>
      <c r="L11" s="314"/>
      <c r="M11" s="317">
        <v>1866</v>
      </c>
      <c r="N11" s="317">
        <v>3553</v>
      </c>
      <c r="O11" s="317">
        <v>5143</v>
      </c>
      <c r="P11" s="317">
        <v>6608</v>
      </c>
      <c r="Q11" s="317">
        <v>7949</v>
      </c>
      <c r="R11" s="317">
        <v>9166</v>
      </c>
      <c r="S11" s="317">
        <v>10258</v>
      </c>
      <c r="T11" s="317">
        <v>11226</v>
      </c>
      <c r="U11" s="317">
        <v>12069</v>
      </c>
      <c r="V11" s="317">
        <v>12788</v>
      </c>
      <c r="W11" s="317">
        <v>13382</v>
      </c>
      <c r="X11" s="317">
        <v>13915</v>
      </c>
      <c r="Y11" s="317">
        <v>14385</v>
      </c>
      <c r="Z11" s="317">
        <v>14793</v>
      </c>
      <c r="AA11" s="317">
        <v>15140</v>
      </c>
      <c r="AB11" s="317">
        <v>15424</v>
      </c>
      <c r="AC11" s="317">
        <v>15647</v>
      </c>
      <c r="AD11" s="317">
        <v>15807</v>
      </c>
      <c r="AE11" s="317">
        <v>15906</v>
      </c>
      <c r="AF11" s="317">
        <v>15942</v>
      </c>
      <c r="AG11" s="315">
        <v>15917</v>
      </c>
    </row>
    <row r="12" spans="1:33">
      <c r="B12" s="313" t="s">
        <v>260</v>
      </c>
      <c r="C12" s="314"/>
      <c r="D12" s="318"/>
      <c r="E12" s="314"/>
      <c r="F12" s="314"/>
      <c r="G12" s="314"/>
      <c r="H12" s="314"/>
      <c r="I12" s="314"/>
      <c r="J12" s="314"/>
      <c r="K12" s="314"/>
      <c r="L12" s="314"/>
      <c r="M12" s="317">
        <v>16000</v>
      </c>
      <c r="N12" s="317">
        <v>16000</v>
      </c>
      <c r="O12" s="317">
        <v>16000</v>
      </c>
      <c r="P12" s="317">
        <v>16000</v>
      </c>
      <c r="Q12" s="317">
        <v>16000</v>
      </c>
      <c r="R12" s="317">
        <v>16000</v>
      </c>
      <c r="S12" s="317">
        <v>16000</v>
      </c>
      <c r="T12" s="317">
        <v>16000</v>
      </c>
      <c r="U12" s="317">
        <v>16000</v>
      </c>
      <c r="V12" s="317">
        <v>16000</v>
      </c>
      <c r="W12" s="317">
        <v>16000</v>
      </c>
      <c r="X12" s="317">
        <v>16000</v>
      </c>
      <c r="Y12" s="317">
        <v>16000</v>
      </c>
      <c r="Z12" s="317">
        <v>16000</v>
      </c>
      <c r="AA12" s="317">
        <v>16000</v>
      </c>
      <c r="AB12" s="317">
        <v>16000</v>
      </c>
      <c r="AC12" s="317">
        <v>16000</v>
      </c>
      <c r="AD12" s="317">
        <v>16000</v>
      </c>
      <c r="AE12" s="317">
        <v>16000</v>
      </c>
      <c r="AF12" s="317">
        <v>16000</v>
      </c>
      <c r="AG12" s="315">
        <v>16000</v>
      </c>
    </row>
    <row r="13" spans="1:33">
      <c r="B13" s="313"/>
      <c r="C13" s="314"/>
      <c r="D13" s="318"/>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8"/>
    </row>
    <row r="14" spans="1:33">
      <c r="B14" s="243"/>
      <c r="C14" s="316"/>
      <c r="D14" s="22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226"/>
    </row>
    <row r="15" spans="1:33">
      <c r="B15" s="1" t="s">
        <v>261</v>
      </c>
      <c r="C15" s="316"/>
      <c r="D15" s="22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226"/>
    </row>
    <row r="16" spans="1:33">
      <c r="B16" s="243"/>
      <c r="C16" s="316"/>
      <c r="D16" s="22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226"/>
    </row>
    <row r="17" spans="1:36">
      <c r="B17" s="313"/>
      <c r="C17" s="314">
        <v>2020</v>
      </c>
      <c r="D17" s="318">
        <v>2021</v>
      </c>
      <c r="E17" s="314">
        <v>2022</v>
      </c>
      <c r="F17" s="314">
        <v>2023</v>
      </c>
      <c r="G17" s="314">
        <v>2024</v>
      </c>
      <c r="H17" s="314">
        <v>2025</v>
      </c>
      <c r="I17" s="314">
        <v>2026</v>
      </c>
      <c r="J17" s="314">
        <v>2027</v>
      </c>
      <c r="K17" s="314">
        <v>2028</v>
      </c>
      <c r="L17" s="314">
        <v>2029</v>
      </c>
      <c r="M17" s="314">
        <v>2030</v>
      </c>
      <c r="N17" s="314">
        <v>2031</v>
      </c>
      <c r="O17" s="314">
        <v>2032</v>
      </c>
      <c r="P17" s="314">
        <v>2033</v>
      </c>
      <c r="Q17" s="314">
        <v>2034</v>
      </c>
      <c r="R17" s="314">
        <v>2035</v>
      </c>
      <c r="S17" s="314">
        <v>2036</v>
      </c>
      <c r="T17" s="314">
        <v>2037</v>
      </c>
      <c r="U17" s="314">
        <v>2038</v>
      </c>
      <c r="V17" s="314">
        <v>2039</v>
      </c>
      <c r="W17" s="314">
        <v>2040</v>
      </c>
      <c r="X17" s="314">
        <v>2041</v>
      </c>
      <c r="Y17" s="314">
        <v>2042</v>
      </c>
      <c r="Z17" s="314">
        <v>2043</v>
      </c>
      <c r="AA17" s="314">
        <v>2044</v>
      </c>
      <c r="AB17" s="314">
        <v>2045</v>
      </c>
      <c r="AC17" s="314">
        <v>2046</v>
      </c>
      <c r="AD17" s="314">
        <v>2047</v>
      </c>
      <c r="AE17" s="314">
        <v>2048</v>
      </c>
      <c r="AF17" s="314">
        <v>2049</v>
      </c>
      <c r="AG17" s="318">
        <v>2050</v>
      </c>
    </row>
    <row r="18" spans="1:36">
      <c r="B18" s="313" t="s">
        <v>257</v>
      </c>
      <c r="C18" s="314"/>
      <c r="D18" s="318"/>
      <c r="E18" s="314"/>
      <c r="F18" s="314"/>
      <c r="G18" s="314"/>
      <c r="H18" s="314"/>
      <c r="I18" s="314"/>
      <c r="J18" s="314"/>
      <c r="K18" s="314"/>
      <c r="L18" s="314"/>
      <c r="M18" s="314">
        <v>1597.5634059427289</v>
      </c>
      <c r="N18" s="314">
        <v>3113.0506927542556</v>
      </c>
      <c r="O18" s="314">
        <v>4546.4618604345796</v>
      </c>
      <c r="P18" s="314">
        <v>5897.7969089837015</v>
      </c>
      <c r="Q18" s="314">
        <v>7167.0558384016213</v>
      </c>
      <c r="R18" s="314">
        <v>8354.2386486883388</v>
      </c>
      <c r="S18" s="314">
        <v>9459.3453398438542</v>
      </c>
      <c r="T18" s="314">
        <v>10482.375911868166</v>
      </c>
      <c r="U18" s="314">
        <v>11423.330364761277</v>
      </c>
      <c r="V18" s="314">
        <v>12282.208698523185</v>
      </c>
      <c r="W18" s="314">
        <v>13059.010913153892</v>
      </c>
      <c r="X18" s="314">
        <v>13775.777837057782</v>
      </c>
      <c r="Y18" s="314">
        <v>14432.509470234854</v>
      </c>
      <c r="Z18" s="314">
        <v>15029.20581268511</v>
      </c>
      <c r="AA18" s="314">
        <v>15565.866864408548</v>
      </c>
      <c r="AB18" s="314">
        <v>16042.49262540517</v>
      </c>
      <c r="AC18" s="314">
        <v>16459.083095674974</v>
      </c>
      <c r="AD18" s="314">
        <v>16815.638275217963</v>
      </c>
      <c r="AE18" s="314">
        <v>17112.158164034136</v>
      </c>
      <c r="AF18" s="314">
        <v>17348.642762123491</v>
      </c>
      <c r="AG18" s="318">
        <v>17525.092069486029</v>
      </c>
    </row>
    <row r="19" spans="1:36">
      <c r="B19" s="313" t="s">
        <v>258</v>
      </c>
      <c r="C19" s="314"/>
      <c r="D19" s="318"/>
      <c r="E19" s="314"/>
      <c r="F19" s="314"/>
      <c r="G19" s="314"/>
      <c r="H19" s="314"/>
      <c r="I19" s="314"/>
      <c r="J19" s="314"/>
      <c r="K19" s="314"/>
      <c r="L19" s="314"/>
      <c r="M19" s="314">
        <v>541</v>
      </c>
      <c r="N19" s="314">
        <v>1063.42</v>
      </c>
      <c r="O19" s="314">
        <v>1567.2600000000002</v>
      </c>
      <c r="P19" s="314">
        <v>2052.5200000000004</v>
      </c>
      <c r="Q19" s="314">
        <v>2519.2000000000007</v>
      </c>
      <c r="R19" s="314">
        <v>2967.3000000000006</v>
      </c>
      <c r="S19" s="314">
        <v>3396.8200000000006</v>
      </c>
      <c r="T19" s="314">
        <v>3807.7600000000007</v>
      </c>
      <c r="U19" s="314">
        <v>4200.1200000000008</v>
      </c>
      <c r="V19" s="314">
        <v>4573.9000000000005</v>
      </c>
      <c r="W19" s="314">
        <v>4929.1000000000004</v>
      </c>
      <c r="X19" s="314">
        <v>5279.1600000000008</v>
      </c>
      <c r="Y19" s="314">
        <v>5624.0800000000008</v>
      </c>
      <c r="Z19" s="314">
        <v>5963.8600000000006</v>
      </c>
      <c r="AA19" s="314">
        <v>6298.5000000000009</v>
      </c>
      <c r="AB19" s="314">
        <v>6628.0000000000009</v>
      </c>
      <c r="AC19" s="314">
        <v>6952.3600000000006</v>
      </c>
      <c r="AD19" s="314">
        <v>7271.5800000000008</v>
      </c>
      <c r="AE19" s="314">
        <v>7585.6600000000008</v>
      </c>
      <c r="AF19" s="314">
        <v>7894.6</v>
      </c>
      <c r="AG19" s="318">
        <v>8198.4</v>
      </c>
    </row>
    <row r="20" spans="1:36">
      <c r="B20" s="313" t="s">
        <v>120</v>
      </c>
      <c r="C20" s="314"/>
      <c r="D20" s="318"/>
      <c r="E20" s="314"/>
      <c r="F20" s="314"/>
      <c r="G20" s="314"/>
      <c r="H20" s="314"/>
      <c r="I20" s="314"/>
      <c r="J20" s="314"/>
      <c r="K20" s="314"/>
      <c r="L20" s="314"/>
      <c r="M20" s="314">
        <v>-239.8</v>
      </c>
      <c r="N20" s="314">
        <v>-487.32</v>
      </c>
      <c r="O20" s="314">
        <v>-742.56000000000006</v>
      </c>
      <c r="P20" s="314">
        <v>-1005.5200000000001</v>
      </c>
      <c r="Q20" s="314">
        <v>-1276.2000000000003</v>
      </c>
      <c r="R20" s="314">
        <v>-1554.6000000000004</v>
      </c>
      <c r="S20" s="314">
        <v>-1840.7200000000005</v>
      </c>
      <c r="T20" s="314">
        <v>-2134.5600000000004</v>
      </c>
      <c r="U20" s="314">
        <v>-2436.1200000000008</v>
      </c>
      <c r="V20" s="314">
        <v>-2745.400000000001</v>
      </c>
      <c r="W20" s="314">
        <v>-3062.400000000001</v>
      </c>
      <c r="X20" s="314">
        <v>-3381.0000000000009</v>
      </c>
      <c r="Y20" s="314">
        <v>-3701.2000000000007</v>
      </c>
      <c r="Z20" s="314">
        <v>-4023.0000000000009</v>
      </c>
      <c r="AA20" s="314">
        <v>-4346.4000000000015</v>
      </c>
      <c r="AB20" s="314">
        <v>-4671.4000000000015</v>
      </c>
      <c r="AC20" s="314">
        <v>-4998.0000000000018</v>
      </c>
      <c r="AD20" s="314">
        <v>-5326.2000000000016</v>
      </c>
      <c r="AE20" s="314">
        <v>-5656.0000000000018</v>
      </c>
      <c r="AF20" s="314">
        <v>-5987.4000000000024</v>
      </c>
      <c r="AG20" s="318">
        <v>-6320.4000000000024</v>
      </c>
    </row>
    <row r="21" spans="1:36" s="322" customFormat="1">
      <c r="B21" s="319" t="s">
        <v>121</v>
      </c>
      <c r="C21" s="320"/>
      <c r="D21" s="321"/>
      <c r="E21" s="320"/>
      <c r="F21" s="320"/>
      <c r="G21" s="320"/>
      <c r="H21" s="320"/>
      <c r="I21" s="320"/>
      <c r="J21" s="320"/>
      <c r="K21" s="320"/>
      <c r="L21" s="320"/>
      <c r="M21" s="320">
        <v>-47.945</v>
      </c>
      <c r="N21" s="320">
        <v>-95.89</v>
      </c>
      <c r="O21" s="320">
        <v>-156.83500000000001</v>
      </c>
      <c r="P21" s="320">
        <v>-253.16187500000001</v>
      </c>
      <c r="Q21" s="320">
        <v>-384.87062500000002</v>
      </c>
      <c r="R21" s="320">
        <v>-551.96125000000006</v>
      </c>
      <c r="S21" s="320">
        <v>-754.43375000000015</v>
      </c>
      <c r="T21" s="320">
        <v>-992.28812500000015</v>
      </c>
      <c r="U21" s="320">
        <v>-1265.5243750000002</v>
      </c>
      <c r="V21" s="320">
        <v>-1574.1425000000002</v>
      </c>
      <c r="W21" s="320">
        <v>-1918.1425000000002</v>
      </c>
      <c r="X21" s="320">
        <v>-2272.9425000000001</v>
      </c>
      <c r="Y21" s="320">
        <v>-2638.5425</v>
      </c>
      <c r="Z21" s="320">
        <v>-3014.9425000000001</v>
      </c>
      <c r="AA21" s="320">
        <v>-3402.1424999999999</v>
      </c>
      <c r="AB21" s="320">
        <v>-3800.1424999999999</v>
      </c>
      <c r="AC21" s="320">
        <v>-4200.1424999999999</v>
      </c>
      <c r="AD21" s="320">
        <v>-4600.1424999999999</v>
      </c>
      <c r="AE21" s="320">
        <v>-5000.1424999999999</v>
      </c>
      <c r="AF21" s="320">
        <v>-5400.1424999999999</v>
      </c>
      <c r="AG21" s="321">
        <v>-5800.1424999999999</v>
      </c>
    </row>
    <row r="22" spans="1:36">
      <c r="B22" s="313" t="s">
        <v>259</v>
      </c>
      <c r="C22" s="314"/>
      <c r="D22" s="318"/>
      <c r="E22" s="314"/>
      <c r="F22" s="314"/>
      <c r="G22" s="314"/>
      <c r="H22" s="314"/>
      <c r="I22" s="314"/>
      <c r="J22" s="314"/>
      <c r="K22" s="314"/>
      <c r="L22" s="314"/>
      <c r="M22" s="314">
        <v>1850.818405942729</v>
      </c>
      <c r="N22" s="314">
        <v>3593.2606927542556</v>
      </c>
      <c r="O22" s="314">
        <v>5214.3268604345794</v>
      </c>
      <c r="P22" s="314">
        <v>6691.6350339837018</v>
      </c>
      <c r="Q22" s="314">
        <v>8025.1852134016226</v>
      </c>
      <c r="R22" s="314">
        <v>9214.9773986883392</v>
      </c>
      <c r="S22" s="314">
        <v>10261.011589843853</v>
      </c>
      <c r="T22" s="314">
        <v>11163.287786868166</v>
      </c>
      <c r="U22" s="314">
        <v>11921.805989761277</v>
      </c>
      <c r="V22" s="314">
        <v>12536.566198523184</v>
      </c>
      <c r="W22" s="314">
        <v>13007.568413153889</v>
      </c>
      <c r="X22" s="314">
        <v>13400.995337057782</v>
      </c>
      <c r="Y22" s="314">
        <v>13716.846970234856</v>
      </c>
      <c r="Z22" s="314">
        <v>13955.123312685111</v>
      </c>
      <c r="AA22" s="314">
        <v>14115.824364408547</v>
      </c>
      <c r="AB22" s="314">
        <v>14198.95012540517</v>
      </c>
      <c r="AC22" s="314">
        <v>14213.300595674971</v>
      </c>
      <c r="AD22" s="314">
        <v>14160.875775217964</v>
      </c>
      <c r="AE22" s="314">
        <v>14041.675664034135</v>
      </c>
      <c r="AF22" s="314">
        <v>13855.700262123488</v>
      </c>
      <c r="AG22" s="318">
        <v>13602.949569486</v>
      </c>
    </row>
    <row r="23" spans="1:36">
      <c r="B23" s="313" t="s">
        <v>260</v>
      </c>
      <c r="C23" s="314"/>
      <c r="D23" s="318"/>
      <c r="E23" s="314"/>
      <c r="F23" s="314"/>
      <c r="G23" s="314"/>
      <c r="H23" s="314"/>
      <c r="I23" s="314"/>
      <c r="J23" s="314"/>
      <c r="K23" s="314"/>
      <c r="L23" s="314"/>
      <c r="M23" s="314">
        <v>16000</v>
      </c>
      <c r="N23" s="314">
        <v>16000</v>
      </c>
      <c r="O23" s="314">
        <v>16000</v>
      </c>
      <c r="P23" s="314">
        <v>16000</v>
      </c>
      <c r="Q23" s="314">
        <v>16000</v>
      </c>
      <c r="R23" s="314">
        <v>16000</v>
      </c>
      <c r="S23" s="314">
        <v>16000</v>
      </c>
      <c r="T23" s="314">
        <v>16000</v>
      </c>
      <c r="U23" s="314">
        <v>16000</v>
      </c>
      <c r="V23" s="314">
        <v>16000</v>
      </c>
      <c r="W23" s="314">
        <v>16000</v>
      </c>
      <c r="X23" s="314">
        <v>16000</v>
      </c>
      <c r="Y23" s="314">
        <v>16000</v>
      </c>
      <c r="Z23" s="314">
        <v>16000</v>
      </c>
      <c r="AA23" s="314">
        <v>16000</v>
      </c>
      <c r="AB23" s="314">
        <v>16000</v>
      </c>
      <c r="AC23" s="314">
        <v>16000</v>
      </c>
      <c r="AD23" s="314">
        <v>16000</v>
      </c>
      <c r="AE23" s="314">
        <v>16000</v>
      </c>
      <c r="AF23" s="314">
        <v>16000</v>
      </c>
      <c r="AG23" s="318">
        <v>16000</v>
      </c>
    </row>
    <row r="24" spans="1:36">
      <c r="B24" s="313"/>
      <c r="C24" s="314"/>
      <c r="D24" s="318"/>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8"/>
    </row>
    <row r="25" spans="1:36">
      <c r="D25" s="231"/>
      <c r="E25" s="231"/>
      <c r="F25" s="231"/>
    </row>
    <row r="26" spans="1:36">
      <c r="D26" s="231"/>
      <c r="E26" s="231"/>
      <c r="F26" s="231"/>
    </row>
    <row r="27" spans="1:36" s="323" customFormat="1">
      <c r="A27" s="323" t="s">
        <v>262</v>
      </c>
      <c r="D27" s="324"/>
      <c r="E27" s="324"/>
      <c r="F27" s="324"/>
      <c r="J27" s="324"/>
      <c r="K27" s="324"/>
    </row>
    <row r="28" spans="1:36" ht="33.6">
      <c r="B28" s="1" t="s">
        <v>263</v>
      </c>
      <c r="D28" s="231"/>
      <c r="E28" s="231"/>
      <c r="F28" s="231"/>
      <c r="AH28" s="110" t="s">
        <v>264</v>
      </c>
      <c r="AJ28" s="1" t="s">
        <v>265</v>
      </c>
    </row>
    <row r="29" spans="1:36">
      <c r="B29" s="313" t="s">
        <v>266</v>
      </c>
      <c r="D29" s="231"/>
      <c r="E29" s="231"/>
      <c r="F29" s="231"/>
      <c r="M29" s="117">
        <f>M7-L7</f>
        <v>1598</v>
      </c>
      <c r="N29" s="117">
        <f t="shared" ref="N29:AG29" si="0">N7-M7</f>
        <v>1505</v>
      </c>
      <c r="O29" s="117">
        <f t="shared" si="0"/>
        <v>1413</v>
      </c>
      <c r="P29" s="117">
        <f t="shared" si="0"/>
        <v>1321</v>
      </c>
      <c r="Q29" s="117">
        <f t="shared" si="0"/>
        <v>1229</v>
      </c>
      <c r="R29" s="117">
        <f t="shared" si="0"/>
        <v>1137</v>
      </c>
      <c r="S29" s="117">
        <f t="shared" si="0"/>
        <v>1045</v>
      </c>
      <c r="T29" s="117">
        <f t="shared" si="0"/>
        <v>953</v>
      </c>
      <c r="U29" s="117">
        <f t="shared" si="0"/>
        <v>860</v>
      </c>
      <c r="V29" s="117">
        <f t="shared" si="0"/>
        <v>768</v>
      </c>
      <c r="W29" s="117">
        <f t="shared" si="0"/>
        <v>676</v>
      </c>
      <c r="X29" s="117">
        <f t="shared" si="0"/>
        <v>624</v>
      </c>
      <c r="Y29" s="117">
        <f t="shared" si="0"/>
        <v>572</v>
      </c>
      <c r="Z29" s="117">
        <f t="shared" si="0"/>
        <v>520</v>
      </c>
      <c r="AA29" s="117">
        <f t="shared" si="0"/>
        <v>467</v>
      </c>
      <c r="AB29" s="117">
        <f t="shared" si="0"/>
        <v>415</v>
      </c>
      <c r="AC29" s="117">
        <f t="shared" si="0"/>
        <v>362</v>
      </c>
      <c r="AD29" s="117">
        <f t="shared" si="0"/>
        <v>311</v>
      </c>
      <c r="AE29" s="117">
        <f t="shared" si="0"/>
        <v>258</v>
      </c>
      <c r="AF29" s="117">
        <f t="shared" si="0"/>
        <v>206</v>
      </c>
      <c r="AG29" s="117">
        <f t="shared" si="0"/>
        <v>154</v>
      </c>
      <c r="AH29" s="328">
        <f>SUM(M29:AG29)</f>
        <v>16394</v>
      </c>
    </row>
    <row r="30" spans="1:36">
      <c r="B30" s="96" t="s">
        <v>258</v>
      </c>
      <c r="D30" s="231"/>
      <c r="E30" s="231"/>
      <c r="F30" s="231"/>
      <c r="M30" s="117">
        <f t="shared" ref="M30:AG30" si="1">M8-L8</f>
        <v>541</v>
      </c>
      <c r="N30" s="117">
        <f t="shared" si="1"/>
        <v>522</v>
      </c>
      <c r="O30" s="117">
        <f t="shared" si="1"/>
        <v>504</v>
      </c>
      <c r="P30" s="117">
        <f t="shared" si="1"/>
        <v>486</v>
      </c>
      <c r="Q30" s="117">
        <f t="shared" si="1"/>
        <v>466</v>
      </c>
      <c r="R30" s="117">
        <f t="shared" si="1"/>
        <v>448</v>
      </c>
      <c r="S30" s="117">
        <f t="shared" si="1"/>
        <v>430</v>
      </c>
      <c r="T30" s="117">
        <f t="shared" si="1"/>
        <v>411</v>
      </c>
      <c r="U30" s="117">
        <f t="shared" si="1"/>
        <v>392</v>
      </c>
      <c r="V30" s="117">
        <f t="shared" si="1"/>
        <v>374</v>
      </c>
      <c r="W30" s="117">
        <f t="shared" si="1"/>
        <v>355</v>
      </c>
      <c r="X30" s="117">
        <f t="shared" si="1"/>
        <v>350</v>
      </c>
      <c r="Y30" s="117">
        <f t="shared" si="1"/>
        <v>345</v>
      </c>
      <c r="Z30" s="117">
        <f t="shared" si="1"/>
        <v>340</v>
      </c>
      <c r="AA30" s="117">
        <f t="shared" si="1"/>
        <v>335</v>
      </c>
      <c r="AB30" s="117">
        <f t="shared" si="1"/>
        <v>329</v>
      </c>
      <c r="AC30" s="117">
        <f t="shared" si="1"/>
        <v>324</v>
      </c>
      <c r="AD30" s="117">
        <f t="shared" si="1"/>
        <v>320</v>
      </c>
      <c r="AE30" s="117">
        <f t="shared" si="1"/>
        <v>314</v>
      </c>
      <c r="AF30" s="117">
        <f t="shared" si="1"/>
        <v>309</v>
      </c>
      <c r="AG30" s="117">
        <f t="shared" si="1"/>
        <v>303</v>
      </c>
      <c r="AH30" s="328">
        <f t="shared" ref="AH30:AH32" si="2">SUM(M30:AG30)</f>
        <v>8198</v>
      </c>
    </row>
    <row r="31" spans="1:36">
      <c r="B31" s="96" t="s">
        <v>120</v>
      </c>
      <c r="D31" s="231"/>
      <c r="E31" s="231"/>
      <c r="F31" s="231"/>
      <c r="M31" s="117">
        <f t="shared" ref="M31:AG31" si="3">M9-L9</f>
        <v>-240</v>
      </c>
      <c r="N31" s="117">
        <f t="shared" si="3"/>
        <v>-247</v>
      </c>
      <c r="O31" s="117">
        <f t="shared" si="3"/>
        <v>-256</v>
      </c>
      <c r="P31" s="117">
        <f t="shared" si="3"/>
        <v>-263</v>
      </c>
      <c r="Q31" s="117">
        <f t="shared" si="3"/>
        <v>-270</v>
      </c>
      <c r="R31" s="117">
        <f t="shared" si="3"/>
        <v>-279</v>
      </c>
      <c r="S31" s="117">
        <f t="shared" si="3"/>
        <v>-286</v>
      </c>
      <c r="T31" s="117">
        <f t="shared" si="3"/>
        <v>-294</v>
      </c>
      <c r="U31" s="117">
        <f t="shared" si="3"/>
        <v>-301</v>
      </c>
      <c r="V31" s="117">
        <f t="shared" si="3"/>
        <v>-309</v>
      </c>
      <c r="W31" s="117">
        <f t="shared" si="3"/>
        <v>-317</v>
      </c>
      <c r="X31" s="117">
        <f t="shared" si="3"/>
        <v>-319</v>
      </c>
      <c r="Y31" s="117">
        <f t="shared" si="3"/>
        <v>-320</v>
      </c>
      <c r="Z31" s="117">
        <f t="shared" si="3"/>
        <v>-322</v>
      </c>
      <c r="AA31" s="117">
        <f t="shared" si="3"/>
        <v>-323</v>
      </c>
      <c r="AB31" s="117">
        <f t="shared" si="3"/>
        <v>-325</v>
      </c>
      <c r="AC31" s="117">
        <f t="shared" si="3"/>
        <v>-327</v>
      </c>
      <c r="AD31" s="117">
        <f t="shared" si="3"/>
        <v>-328</v>
      </c>
      <c r="AE31" s="117">
        <f t="shared" si="3"/>
        <v>-330</v>
      </c>
      <c r="AF31" s="117">
        <f t="shared" si="3"/>
        <v>-331</v>
      </c>
      <c r="AG31" s="117">
        <f t="shared" si="3"/>
        <v>-333</v>
      </c>
      <c r="AH31" s="328">
        <f t="shared" si="2"/>
        <v>-6320</v>
      </c>
    </row>
    <row r="32" spans="1:36">
      <c r="B32" s="96" t="s">
        <v>121</v>
      </c>
      <c r="D32" s="231"/>
      <c r="E32" s="231"/>
      <c r="F32" s="231"/>
      <c r="M32" s="117">
        <f t="shared" ref="M32:AG32" si="4">M10-L10</f>
        <v>-60</v>
      </c>
      <c r="N32" s="117">
        <f t="shared" si="4"/>
        <v>-66</v>
      </c>
      <c r="O32" s="117">
        <f t="shared" si="4"/>
        <v>-72</v>
      </c>
      <c r="P32" s="117">
        <f t="shared" si="4"/>
        <v>-78</v>
      </c>
      <c r="Q32" s="117">
        <f t="shared" si="4"/>
        <v>-84</v>
      </c>
      <c r="R32" s="117">
        <f t="shared" si="4"/>
        <v>-90</v>
      </c>
      <c r="S32" s="117">
        <f t="shared" si="4"/>
        <v>-96</v>
      </c>
      <c r="T32" s="117">
        <f t="shared" si="4"/>
        <v>-102</v>
      </c>
      <c r="U32" s="117">
        <f t="shared" si="4"/>
        <v>-108</v>
      </c>
      <c r="V32" s="117">
        <f t="shared" si="4"/>
        <v>-114</v>
      </c>
      <c r="W32" s="117">
        <f t="shared" si="4"/>
        <v>-120</v>
      </c>
      <c r="X32" s="117">
        <f t="shared" si="4"/>
        <v>-123</v>
      </c>
      <c r="Y32" s="117">
        <f t="shared" si="4"/>
        <v>-126</v>
      </c>
      <c r="Z32" s="117">
        <f t="shared" si="4"/>
        <v>-129</v>
      </c>
      <c r="AA32" s="117">
        <f t="shared" si="4"/>
        <v>-132</v>
      </c>
      <c r="AB32" s="117">
        <f t="shared" si="4"/>
        <v>-135</v>
      </c>
      <c r="AC32" s="117">
        <f t="shared" si="4"/>
        <v>-138</v>
      </c>
      <c r="AD32" s="117">
        <f t="shared" si="4"/>
        <v>-141</v>
      </c>
      <c r="AE32" s="117">
        <f t="shared" si="4"/>
        <v>-144</v>
      </c>
      <c r="AF32" s="117">
        <f t="shared" si="4"/>
        <v>-147</v>
      </c>
      <c r="AG32" s="117">
        <f t="shared" si="4"/>
        <v>-150</v>
      </c>
      <c r="AH32" s="328">
        <f t="shared" si="2"/>
        <v>-2355</v>
      </c>
    </row>
    <row r="33" spans="2:36">
      <c r="B33" s="376" t="s">
        <v>267</v>
      </c>
      <c r="C33" s="377"/>
      <c r="D33" s="378"/>
      <c r="E33" s="378"/>
      <c r="F33" s="378"/>
      <c r="G33" s="377"/>
      <c r="H33" s="377"/>
      <c r="I33" s="377"/>
      <c r="J33" s="379"/>
      <c r="K33" s="379"/>
      <c r="L33" s="377"/>
      <c r="M33" s="380">
        <f t="shared" ref="M33:AG33" si="5">SUM(M29:M32)</f>
        <v>1839</v>
      </c>
      <c r="N33" s="380">
        <f t="shared" si="5"/>
        <v>1714</v>
      </c>
      <c r="O33" s="380">
        <f t="shared" si="5"/>
        <v>1589</v>
      </c>
      <c r="P33" s="380">
        <f t="shared" si="5"/>
        <v>1466</v>
      </c>
      <c r="Q33" s="380">
        <f t="shared" si="5"/>
        <v>1341</v>
      </c>
      <c r="R33" s="380">
        <f t="shared" si="5"/>
        <v>1216</v>
      </c>
      <c r="S33" s="380">
        <f t="shared" si="5"/>
        <v>1093</v>
      </c>
      <c r="T33" s="380">
        <f t="shared" si="5"/>
        <v>968</v>
      </c>
      <c r="U33" s="380">
        <f t="shared" si="5"/>
        <v>843</v>
      </c>
      <c r="V33" s="380">
        <f t="shared" si="5"/>
        <v>719</v>
      </c>
      <c r="W33" s="380">
        <f t="shared" si="5"/>
        <v>594</v>
      </c>
      <c r="X33" s="380">
        <f t="shared" si="5"/>
        <v>532</v>
      </c>
      <c r="Y33" s="380">
        <f t="shared" si="5"/>
        <v>471</v>
      </c>
      <c r="Z33" s="380">
        <f t="shared" si="5"/>
        <v>409</v>
      </c>
      <c r="AA33" s="380">
        <f t="shared" si="5"/>
        <v>347</v>
      </c>
      <c r="AB33" s="380">
        <f t="shared" si="5"/>
        <v>284</v>
      </c>
      <c r="AC33" s="380">
        <f t="shared" si="5"/>
        <v>221</v>
      </c>
      <c r="AD33" s="380">
        <f t="shared" si="5"/>
        <v>162</v>
      </c>
      <c r="AE33" s="380">
        <f t="shared" si="5"/>
        <v>98</v>
      </c>
      <c r="AF33" s="380">
        <f t="shared" si="5"/>
        <v>37</v>
      </c>
      <c r="AG33" s="380">
        <f t="shared" si="5"/>
        <v>-26</v>
      </c>
      <c r="AH33" s="381">
        <f>SUM(M33:AG33)</f>
        <v>15917</v>
      </c>
    </row>
    <row r="34" spans="2:36" s="65" customFormat="1">
      <c r="B34" s="12" t="s">
        <v>268</v>
      </c>
      <c r="D34" s="327"/>
      <c r="E34" s="327"/>
      <c r="F34" s="327"/>
      <c r="J34" s="327"/>
      <c r="K34" s="327"/>
      <c r="M34" s="348">
        <f t="shared" ref="M34:AG34" si="6">M58</f>
        <v>108</v>
      </c>
      <c r="N34" s="348">
        <f t="shared" si="6"/>
        <v>106.3</v>
      </c>
      <c r="O34" s="348">
        <f t="shared" si="6"/>
        <v>104.6</v>
      </c>
      <c r="P34" s="348">
        <f t="shared" si="6"/>
        <v>102.9</v>
      </c>
      <c r="Q34" s="348">
        <f t="shared" si="6"/>
        <v>101.20000000000002</v>
      </c>
      <c r="R34" s="348">
        <f t="shared" si="6"/>
        <v>99.500000000000014</v>
      </c>
      <c r="S34" s="348">
        <f t="shared" si="6"/>
        <v>97.800000000000011</v>
      </c>
      <c r="T34" s="348">
        <f t="shared" si="6"/>
        <v>96.100000000000023</v>
      </c>
      <c r="U34" s="348">
        <f t="shared" si="6"/>
        <v>94.400000000000034</v>
      </c>
      <c r="V34" s="348">
        <f t="shared" si="6"/>
        <v>92.700000000000031</v>
      </c>
      <c r="W34" s="348">
        <f t="shared" si="6"/>
        <v>91</v>
      </c>
      <c r="X34" s="348">
        <f t="shared" si="6"/>
        <v>91.4</v>
      </c>
      <c r="Y34" s="348">
        <f t="shared" si="6"/>
        <v>91.8</v>
      </c>
      <c r="Z34" s="348">
        <f t="shared" si="6"/>
        <v>92.2</v>
      </c>
      <c r="AA34" s="348">
        <f t="shared" si="6"/>
        <v>92.6</v>
      </c>
      <c r="AB34" s="348">
        <f t="shared" si="6"/>
        <v>93</v>
      </c>
      <c r="AC34" s="348">
        <f t="shared" si="6"/>
        <v>93.4</v>
      </c>
      <c r="AD34" s="348">
        <f t="shared" si="6"/>
        <v>93.8</v>
      </c>
      <c r="AE34" s="348">
        <f t="shared" si="6"/>
        <v>94.2</v>
      </c>
      <c r="AF34" s="348">
        <f t="shared" si="6"/>
        <v>94.600000000000009</v>
      </c>
      <c r="AG34" s="348">
        <f t="shared" si="6"/>
        <v>95</v>
      </c>
      <c r="AH34" s="233">
        <f>SUM(M34:AG34)</f>
        <v>2026.5</v>
      </c>
      <c r="AI34" s="22"/>
    </row>
    <row r="35" spans="2:36">
      <c r="B35" s="382" t="s">
        <v>269</v>
      </c>
      <c r="C35" s="383"/>
      <c r="D35" s="384"/>
      <c r="E35" s="384"/>
      <c r="F35" s="384"/>
      <c r="G35" s="383"/>
      <c r="H35" s="383"/>
      <c r="I35" s="383"/>
      <c r="J35" s="385"/>
      <c r="K35" s="385"/>
      <c r="L35" s="383"/>
      <c r="M35" s="386">
        <f>M34+M33</f>
        <v>1947</v>
      </c>
      <c r="N35" s="386">
        <f t="shared" ref="N35:AG35" si="7">N34+N33</f>
        <v>1820.3</v>
      </c>
      <c r="O35" s="386">
        <f t="shared" si="7"/>
        <v>1693.6</v>
      </c>
      <c r="P35" s="386">
        <f t="shared" si="7"/>
        <v>1568.9</v>
      </c>
      <c r="Q35" s="386">
        <f t="shared" si="7"/>
        <v>1442.2</v>
      </c>
      <c r="R35" s="386">
        <f t="shared" si="7"/>
        <v>1315.5</v>
      </c>
      <c r="S35" s="386">
        <f t="shared" si="7"/>
        <v>1190.8</v>
      </c>
      <c r="T35" s="386">
        <f t="shared" si="7"/>
        <v>1064.0999999999999</v>
      </c>
      <c r="U35" s="386">
        <f t="shared" si="7"/>
        <v>937.40000000000009</v>
      </c>
      <c r="V35" s="386">
        <f t="shared" si="7"/>
        <v>811.7</v>
      </c>
      <c r="W35" s="386">
        <f t="shared" si="7"/>
        <v>685</v>
      </c>
      <c r="X35" s="386">
        <f t="shared" si="7"/>
        <v>623.4</v>
      </c>
      <c r="Y35" s="386">
        <f t="shared" si="7"/>
        <v>562.79999999999995</v>
      </c>
      <c r="Z35" s="386">
        <f t="shared" si="7"/>
        <v>501.2</v>
      </c>
      <c r="AA35" s="386">
        <f t="shared" si="7"/>
        <v>439.6</v>
      </c>
      <c r="AB35" s="386">
        <f t="shared" si="7"/>
        <v>377</v>
      </c>
      <c r="AC35" s="386">
        <f t="shared" si="7"/>
        <v>314.39999999999998</v>
      </c>
      <c r="AD35" s="386">
        <f t="shared" si="7"/>
        <v>255.8</v>
      </c>
      <c r="AE35" s="386">
        <f t="shared" si="7"/>
        <v>192.2</v>
      </c>
      <c r="AF35" s="386">
        <f t="shared" si="7"/>
        <v>131.60000000000002</v>
      </c>
      <c r="AG35" s="386">
        <f t="shared" si="7"/>
        <v>69</v>
      </c>
      <c r="AH35" s="387">
        <f>SUM(M35:AG35)</f>
        <v>17943.5</v>
      </c>
    </row>
    <row r="36" spans="2:36">
      <c r="B36" s="1"/>
      <c r="D36" s="231"/>
      <c r="E36" s="231"/>
      <c r="F36" s="231"/>
      <c r="M36" s="482" t="e">
        <f>M35/#REF!-1</f>
        <v>#REF!</v>
      </c>
      <c r="N36" s="316"/>
      <c r="O36" s="316"/>
      <c r="P36" s="316"/>
      <c r="Q36" s="316"/>
      <c r="R36" s="316"/>
      <c r="S36" s="316"/>
      <c r="T36" s="316"/>
      <c r="U36" s="316"/>
      <c r="V36" s="316"/>
      <c r="W36" s="482" t="e">
        <f>W35/#REF!-1</f>
        <v>#REF!</v>
      </c>
      <c r="X36" s="316"/>
      <c r="Y36" s="316"/>
      <c r="Z36" s="316"/>
      <c r="AA36" s="316"/>
      <c r="AB36" s="316"/>
      <c r="AC36" s="316"/>
      <c r="AD36" s="316"/>
      <c r="AE36" s="316"/>
      <c r="AF36" s="316"/>
      <c r="AG36" s="482" t="e">
        <f>AG35/#REF!-1</f>
        <v>#REF!</v>
      </c>
      <c r="AH36" s="176"/>
    </row>
    <row r="37" spans="2:36">
      <c r="D37" s="231"/>
      <c r="E37" s="231"/>
      <c r="F37" s="231"/>
      <c r="M37" s="117"/>
    </row>
    <row r="38" spans="2:36">
      <c r="B38" s="1" t="s">
        <v>270</v>
      </c>
      <c r="D38" s="231"/>
      <c r="E38" s="231"/>
      <c r="F38" s="231"/>
    </row>
    <row r="39" spans="2:36">
      <c r="B39" s="313" t="s">
        <v>266</v>
      </c>
      <c r="D39" s="231"/>
      <c r="E39" s="231"/>
      <c r="F39" s="231"/>
      <c r="M39" s="117">
        <f t="shared" ref="M39:AG39" si="8">M18-L18</f>
        <v>1597.5634059427289</v>
      </c>
      <c r="N39" s="117">
        <f t="shared" si="8"/>
        <v>1515.4872868115267</v>
      </c>
      <c r="O39" s="117">
        <f t="shared" si="8"/>
        <v>1433.4111676803241</v>
      </c>
      <c r="P39" s="117">
        <f t="shared" si="8"/>
        <v>1351.3350485491219</v>
      </c>
      <c r="Q39" s="117">
        <f t="shared" si="8"/>
        <v>1269.2589294179197</v>
      </c>
      <c r="R39" s="117">
        <f t="shared" si="8"/>
        <v>1187.1828102867175</v>
      </c>
      <c r="S39" s="117">
        <f t="shared" si="8"/>
        <v>1105.1066911555154</v>
      </c>
      <c r="T39" s="117">
        <f t="shared" si="8"/>
        <v>1023.0305720243123</v>
      </c>
      <c r="U39" s="117">
        <f t="shared" si="8"/>
        <v>940.95445289311101</v>
      </c>
      <c r="V39" s="117">
        <f t="shared" si="8"/>
        <v>858.87833376190792</v>
      </c>
      <c r="W39" s="117">
        <f t="shared" si="8"/>
        <v>776.80221463070666</v>
      </c>
      <c r="X39" s="117">
        <f t="shared" si="8"/>
        <v>716.76692390388962</v>
      </c>
      <c r="Y39" s="117">
        <f t="shared" si="8"/>
        <v>656.73163317707258</v>
      </c>
      <c r="Z39" s="117">
        <f t="shared" si="8"/>
        <v>596.69634245025554</v>
      </c>
      <c r="AA39" s="117">
        <f t="shared" si="8"/>
        <v>536.6610517234385</v>
      </c>
      <c r="AB39" s="117">
        <f t="shared" si="8"/>
        <v>476.62576099662147</v>
      </c>
      <c r="AC39" s="117">
        <f t="shared" si="8"/>
        <v>416.59047026980443</v>
      </c>
      <c r="AD39" s="117">
        <f t="shared" si="8"/>
        <v>356.55517954298921</v>
      </c>
      <c r="AE39" s="117">
        <f t="shared" si="8"/>
        <v>296.51988881617217</v>
      </c>
      <c r="AF39" s="117">
        <f t="shared" si="8"/>
        <v>236.48459808935513</v>
      </c>
      <c r="AG39" s="117">
        <f t="shared" si="8"/>
        <v>176.44930736253809</v>
      </c>
      <c r="AH39" s="328">
        <f>SUM(M39:AG39)</f>
        <v>17525.092069486029</v>
      </c>
    </row>
    <row r="40" spans="2:36">
      <c r="B40" s="96" t="s">
        <v>258</v>
      </c>
      <c r="D40" s="231"/>
      <c r="E40" s="231"/>
      <c r="F40" s="231"/>
      <c r="M40" s="117">
        <f t="shared" ref="M40:AG40" si="9">M19-L19</f>
        <v>541</v>
      </c>
      <c r="N40" s="117">
        <f t="shared" si="9"/>
        <v>522.42000000000007</v>
      </c>
      <c r="O40" s="117">
        <f t="shared" si="9"/>
        <v>503.84000000000015</v>
      </c>
      <c r="P40" s="117">
        <f t="shared" si="9"/>
        <v>485.26000000000022</v>
      </c>
      <c r="Q40" s="117">
        <f t="shared" si="9"/>
        <v>466.68000000000029</v>
      </c>
      <c r="R40" s="117">
        <f t="shared" si="9"/>
        <v>448.09999999999991</v>
      </c>
      <c r="S40" s="117">
        <f t="shared" si="9"/>
        <v>429.52</v>
      </c>
      <c r="T40" s="117">
        <f t="shared" si="9"/>
        <v>410.94000000000005</v>
      </c>
      <c r="U40" s="117">
        <f t="shared" si="9"/>
        <v>392.36000000000013</v>
      </c>
      <c r="V40" s="117">
        <f t="shared" si="9"/>
        <v>373.77999999999975</v>
      </c>
      <c r="W40" s="117">
        <f t="shared" si="9"/>
        <v>355.19999999999982</v>
      </c>
      <c r="X40" s="117">
        <f t="shared" si="9"/>
        <v>350.0600000000004</v>
      </c>
      <c r="Y40" s="117">
        <f t="shared" si="9"/>
        <v>344.92000000000007</v>
      </c>
      <c r="Z40" s="117">
        <f t="shared" si="9"/>
        <v>339.77999999999975</v>
      </c>
      <c r="AA40" s="117">
        <f t="shared" si="9"/>
        <v>334.64000000000033</v>
      </c>
      <c r="AB40" s="117">
        <f t="shared" si="9"/>
        <v>329.5</v>
      </c>
      <c r="AC40" s="117">
        <f t="shared" si="9"/>
        <v>324.35999999999967</v>
      </c>
      <c r="AD40" s="117">
        <f t="shared" si="9"/>
        <v>319.22000000000025</v>
      </c>
      <c r="AE40" s="117">
        <f t="shared" si="9"/>
        <v>314.07999999999993</v>
      </c>
      <c r="AF40" s="117">
        <f t="shared" si="9"/>
        <v>308.9399999999996</v>
      </c>
      <c r="AG40" s="117">
        <f t="shared" si="9"/>
        <v>303.79999999999927</v>
      </c>
      <c r="AH40" s="328">
        <f t="shared" ref="AH40:AH42" si="10">SUM(M40:AG40)</f>
        <v>8198.4</v>
      </c>
    </row>
    <row r="41" spans="2:36">
      <c r="B41" s="96" t="s">
        <v>120</v>
      </c>
      <c r="D41" s="231"/>
      <c r="E41" s="231"/>
      <c r="F41" s="231"/>
      <c r="M41" s="117">
        <f t="shared" ref="M41:AG41" si="11">M20-L20</f>
        <v>-239.8</v>
      </c>
      <c r="N41" s="117">
        <f t="shared" si="11"/>
        <v>-247.51999999999998</v>
      </c>
      <c r="O41" s="117">
        <f t="shared" si="11"/>
        <v>-255.24000000000007</v>
      </c>
      <c r="P41" s="117">
        <f t="shared" si="11"/>
        <v>-262.96000000000004</v>
      </c>
      <c r="Q41" s="117">
        <f t="shared" si="11"/>
        <v>-270.68000000000018</v>
      </c>
      <c r="R41" s="117">
        <f t="shared" si="11"/>
        <v>-278.40000000000009</v>
      </c>
      <c r="S41" s="117">
        <f t="shared" si="11"/>
        <v>-286.12000000000012</v>
      </c>
      <c r="T41" s="117">
        <f t="shared" si="11"/>
        <v>-293.83999999999992</v>
      </c>
      <c r="U41" s="117">
        <f t="shared" si="11"/>
        <v>-301.5600000000004</v>
      </c>
      <c r="V41" s="117">
        <f t="shared" si="11"/>
        <v>-309.2800000000002</v>
      </c>
      <c r="W41" s="117">
        <f t="shared" si="11"/>
        <v>-317</v>
      </c>
      <c r="X41" s="117">
        <f t="shared" si="11"/>
        <v>-318.59999999999991</v>
      </c>
      <c r="Y41" s="117">
        <f t="shared" si="11"/>
        <v>-320.19999999999982</v>
      </c>
      <c r="Z41" s="117">
        <f t="shared" si="11"/>
        <v>-321.80000000000018</v>
      </c>
      <c r="AA41" s="117">
        <f t="shared" si="11"/>
        <v>-323.40000000000055</v>
      </c>
      <c r="AB41" s="117">
        <f t="shared" si="11"/>
        <v>-325</v>
      </c>
      <c r="AC41" s="117">
        <f t="shared" si="11"/>
        <v>-326.60000000000036</v>
      </c>
      <c r="AD41" s="117">
        <f t="shared" si="11"/>
        <v>-328.19999999999982</v>
      </c>
      <c r="AE41" s="117">
        <f t="shared" si="11"/>
        <v>-329.80000000000018</v>
      </c>
      <c r="AF41" s="117">
        <f t="shared" si="11"/>
        <v>-331.40000000000055</v>
      </c>
      <c r="AG41" s="117">
        <f t="shared" si="11"/>
        <v>-333</v>
      </c>
      <c r="AH41" s="328">
        <f t="shared" si="10"/>
        <v>-6320.4000000000024</v>
      </c>
    </row>
    <row r="42" spans="2:36">
      <c r="B42" s="96" t="s">
        <v>121</v>
      </c>
      <c r="D42" s="231"/>
      <c r="E42" s="231"/>
      <c r="F42" s="231"/>
      <c r="M42" s="117">
        <f t="shared" ref="M42:AG42" si="12">M21-L21</f>
        <v>-47.945</v>
      </c>
      <c r="N42" s="117">
        <f t="shared" si="12"/>
        <v>-47.945</v>
      </c>
      <c r="O42" s="117">
        <f t="shared" si="12"/>
        <v>-60.945000000000007</v>
      </c>
      <c r="P42" s="117">
        <f t="shared" si="12"/>
        <v>-96.326875000000001</v>
      </c>
      <c r="Q42" s="117">
        <f t="shared" si="12"/>
        <v>-131.70875000000001</v>
      </c>
      <c r="R42" s="117">
        <f t="shared" si="12"/>
        <v>-167.09062500000005</v>
      </c>
      <c r="S42" s="117">
        <f t="shared" si="12"/>
        <v>-202.47250000000008</v>
      </c>
      <c r="T42" s="117">
        <f t="shared" si="12"/>
        <v>-237.854375</v>
      </c>
      <c r="U42" s="117">
        <f t="shared" si="12"/>
        <v>-273.23625000000004</v>
      </c>
      <c r="V42" s="117">
        <f t="shared" si="12"/>
        <v>-308.61812499999996</v>
      </c>
      <c r="W42" s="117">
        <f t="shared" si="12"/>
        <v>-344</v>
      </c>
      <c r="X42" s="117">
        <f t="shared" si="12"/>
        <v>-354.79999999999995</v>
      </c>
      <c r="Y42" s="117">
        <f t="shared" si="12"/>
        <v>-365.59999999999991</v>
      </c>
      <c r="Z42" s="117">
        <f t="shared" si="12"/>
        <v>-376.40000000000009</v>
      </c>
      <c r="AA42" s="117">
        <f t="shared" si="12"/>
        <v>-387.19999999999982</v>
      </c>
      <c r="AB42" s="117">
        <f t="shared" si="12"/>
        <v>-398</v>
      </c>
      <c r="AC42" s="117">
        <f t="shared" si="12"/>
        <v>-400</v>
      </c>
      <c r="AD42" s="117">
        <f t="shared" si="12"/>
        <v>-400</v>
      </c>
      <c r="AE42" s="117">
        <f t="shared" si="12"/>
        <v>-400</v>
      </c>
      <c r="AF42" s="117">
        <f t="shared" si="12"/>
        <v>-400</v>
      </c>
      <c r="AG42" s="117">
        <f t="shared" si="12"/>
        <v>-400</v>
      </c>
      <c r="AH42" s="328">
        <f t="shared" si="10"/>
        <v>-5800.1424999999999</v>
      </c>
    </row>
    <row r="43" spans="2:36">
      <c r="B43" s="376" t="s">
        <v>271</v>
      </c>
      <c r="C43" s="377"/>
      <c r="D43" s="378"/>
      <c r="E43" s="378"/>
      <c r="F43" s="378"/>
      <c r="G43" s="377"/>
      <c r="H43" s="377"/>
      <c r="I43" s="377"/>
      <c r="J43" s="379"/>
      <c r="K43" s="379"/>
      <c r="L43" s="377"/>
      <c r="M43" s="380">
        <f t="shared" ref="M43:AG43" si="13">SUM(M39:M42)</f>
        <v>1850.818405942729</v>
      </c>
      <c r="N43" s="380">
        <f t="shared" si="13"/>
        <v>1742.4422868115269</v>
      </c>
      <c r="O43" s="380">
        <f t="shared" si="13"/>
        <v>1621.0661676803243</v>
      </c>
      <c r="P43" s="380">
        <f t="shared" si="13"/>
        <v>1477.3081735491221</v>
      </c>
      <c r="Q43" s="380">
        <f t="shared" si="13"/>
        <v>1333.5501794179197</v>
      </c>
      <c r="R43" s="380">
        <f t="shared" si="13"/>
        <v>1189.7921852867173</v>
      </c>
      <c r="S43" s="380">
        <f t="shared" si="13"/>
        <v>1046.0341911555151</v>
      </c>
      <c r="T43" s="380">
        <f t="shared" si="13"/>
        <v>902.27619702431241</v>
      </c>
      <c r="U43" s="380">
        <f t="shared" si="13"/>
        <v>758.5182028931107</v>
      </c>
      <c r="V43" s="380">
        <f t="shared" si="13"/>
        <v>614.76020876190751</v>
      </c>
      <c r="W43" s="380">
        <f t="shared" si="13"/>
        <v>471.00221463070648</v>
      </c>
      <c r="X43" s="380">
        <f t="shared" si="13"/>
        <v>393.42692390389016</v>
      </c>
      <c r="Y43" s="380">
        <f t="shared" si="13"/>
        <v>315.85163317707293</v>
      </c>
      <c r="Z43" s="380">
        <f t="shared" si="13"/>
        <v>238.27634245025502</v>
      </c>
      <c r="AA43" s="380">
        <f t="shared" si="13"/>
        <v>160.70105172343847</v>
      </c>
      <c r="AB43" s="380">
        <f t="shared" si="13"/>
        <v>83.125760996621466</v>
      </c>
      <c r="AC43" s="380">
        <f t="shared" si="13"/>
        <v>14.350470269803736</v>
      </c>
      <c r="AD43" s="380">
        <f t="shared" si="13"/>
        <v>-52.424820457010355</v>
      </c>
      <c r="AE43" s="380">
        <f t="shared" si="13"/>
        <v>-119.20011118382808</v>
      </c>
      <c r="AF43" s="380">
        <f t="shared" si="13"/>
        <v>-185.97540191064581</v>
      </c>
      <c r="AG43" s="380">
        <f t="shared" si="13"/>
        <v>-252.75069263746263</v>
      </c>
      <c r="AH43" s="381">
        <f>SUM(M43:AG43)</f>
        <v>13602.949569486025</v>
      </c>
    </row>
    <row r="44" spans="2:36">
      <c r="B44" s="54" t="s">
        <v>272</v>
      </c>
      <c r="C44" s="95"/>
      <c r="D44" s="301"/>
      <c r="E44" s="301"/>
      <c r="F44" s="301"/>
      <c r="G44" s="95"/>
      <c r="H44" s="95"/>
      <c r="I44" s="95"/>
      <c r="J44" s="302"/>
      <c r="K44" s="302"/>
      <c r="L44" s="95"/>
      <c r="M44" s="388">
        <f>M53</f>
        <v>3.6904293564224275</v>
      </c>
      <c r="N44" s="388">
        <f t="shared" ref="N44:AG44" si="14">N53</f>
        <v>-16.177774571419413</v>
      </c>
      <c r="O44" s="388">
        <f t="shared" si="14"/>
        <v>-23.045978499261253</v>
      </c>
      <c r="P44" s="388">
        <f t="shared" si="14"/>
        <v>-7.5323074271031061</v>
      </c>
      <c r="Q44" s="388">
        <f t="shared" si="14"/>
        <v>7.9813636450550547</v>
      </c>
      <c r="R44" s="388">
        <f t="shared" si="14"/>
        <v>23.495034717213258</v>
      </c>
      <c r="S44" s="388">
        <f t="shared" si="14"/>
        <v>39.008705789371447</v>
      </c>
      <c r="T44" s="388">
        <f t="shared" si="14"/>
        <v>54.522376861529523</v>
      </c>
      <c r="U44" s="388">
        <f t="shared" si="14"/>
        <v>70.036047933687712</v>
      </c>
      <c r="V44" s="388">
        <f t="shared" si="14"/>
        <v>85.549719005845787</v>
      </c>
      <c r="W44" s="388">
        <f t="shared" si="14"/>
        <v>101.06339007800398</v>
      </c>
      <c r="X44" s="388">
        <f t="shared" si="14"/>
        <v>105.59162034882274</v>
      </c>
      <c r="Y44" s="388">
        <f t="shared" si="14"/>
        <v>110.11985061964154</v>
      </c>
      <c r="Z44" s="388">
        <f t="shared" si="14"/>
        <v>114.64808089046051</v>
      </c>
      <c r="AA44" s="388">
        <f t="shared" si="14"/>
        <v>119.1763111612791</v>
      </c>
      <c r="AB44" s="388">
        <f t="shared" si="14"/>
        <v>123.7045414320981</v>
      </c>
      <c r="AC44" s="388">
        <f t="shared" si="14"/>
        <v>119.43277170291691</v>
      </c>
      <c r="AD44" s="388">
        <f t="shared" si="14"/>
        <v>113.16100197373572</v>
      </c>
      <c r="AE44" s="388">
        <f t="shared" si="14"/>
        <v>106.88923224455453</v>
      </c>
      <c r="AF44" s="388">
        <f t="shared" si="14"/>
        <v>100.61746251537335</v>
      </c>
      <c r="AG44" s="388">
        <f t="shared" si="14"/>
        <v>94.446936759557047</v>
      </c>
      <c r="AH44" s="233">
        <f>SUM(M44:AG44)</f>
        <v>1446.3788165377846</v>
      </c>
    </row>
    <row r="45" spans="2:36">
      <c r="B45" s="12" t="s">
        <v>273</v>
      </c>
      <c r="C45" s="65"/>
      <c r="D45" s="327"/>
      <c r="E45" s="327"/>
      <c r="F45" s="327"/>
      <c r="G45" s="65"/>
      <c r="H45" s="65"/>
      <c r="I45" s="65"/>
      <c r="J45" s="327"/>
      <c r="K45" s="327"/>
      <c r="L45" s="65"/>
      <c r="M45" s="348">
        <f t="shared" ref="M45:AG45" si="15">M34</f>
        <v>108</v>
      </c>
      <c r="N45" s="348">
        <f t="shared" si="15"/>
        <v>106.3</v>
      </c>
      <c r="O45" s="348">
        <f t="shared" si="15"/>
        <v>104.6</v>
      </c>
      <c r="P45" s="348">
        <f t="shared" si="15"/>
        <v>102.9</v>
      </c>
      <c r="Q45" s="348">
        <f t="shared" si="15"/>
        <v>101.20000000000002</v>
      </c>
      <c r="R45" s="348">
        <f t="shared" si="15"/>
        <v>99.500000000000014</v>
      </c>
      <c r="S45" s="348">
        <f t="shared" si="15"/>
        <v>97.800000000000011</v>
      </c>
      <c r="T45" s="348">
        <f t="shared" si="15"/>
        <v>96.100000000000023</v>
      </c>
      <c r="U45" s="348">
        <f t="shared" si="15"/>
        <v>94.400000000000034</v>
      </c>
      <c r="V45" s="348">
        <f t="shared" si="15"/>
        <v>92.700000000000031</v>
      </c>
      <c r="W45" s="348">
        <f t="shared" si="15"/>
        <v>91</v>
      </c>
      <c r="X45" s="348">
        <f t="shared" si="15"/>
        <v>91.4</v>
      </c>
      <c r="Y45" s="348">
        <f t="shared" si="15"/>
        <v>91.8</v>
      </c>
      <c r="Z45" s="348">
        <f t="shared" si="15"/>
        <v>92.2</v>
      </c>
      <c r="AA45" s="348">
        <f t="shared" si="15"/>
        <v>92.6</v>
      </c>
      <c r="AB45" s="348">
        <f t="shared" si="15"/>
        <v>93</v>
      </c>
      <c r="AC45" s="348">
        <f t="shared" si="15"/>
        <v>93.4</v>
      </c>
      <c r="AD45" s="348">
        <f t="shared" si="15"/>
        <v>93.8</v>
      </c>
      <c r="AE45" s="348">
        <f t="shared" si="15"/>
        <v>94.2</v>
      </c>
      <c r="AF45" s="348">
        <f t="shared" si="15"/>
        <v>94.600000000000009</v>
      </c>
      <c r="AG45" s="348">
        <f t="shared" si="15"/>
        <v>95</v>
      </c>
      <c r="AH45" s="233">
        <f>SUM(M45:AG45)</f>
        <v>2026.5</v>
      </c>
    </row>
    <row r="46" spans="2:36">
      <c r="B46" s="382" t="s">
        <v>274</v>
      </c>
      <c r="C46" s="383"/>
      <c r="D46" s="384"/>
      <c r="E46" s="384"/>
      <c r="F46" s="384"/>
      <c r="G46" s="383"/>
      <c r="H46" s="383"/>
      <c r="I46" s="383"/>
      <c r="J46" s="385"/>
      <c r="K46" s="385"/>
      <c r="L46" s="383"/>
      <c r="M46" s="386">
        <f>M45+M44+M43</f>
        <v>1962.5088352991513</v>
      </c>
      <c r="N46" s="386">
        <f t="shared" ref="N46:AG46" si="16">N45+N44+N43</f>
        <v>1832.5645122401074</v>
      </c>
      <c r="O46" s="386">
        <f t="shared" si="16"/>
        <v>1702.6201891810631</v>
      </c>
      <c r="P46" s="386">
        <f t="shared" si="16"/>
        <v>1572.675866122019</v>
      </c>
      <c r="Q46" s="386">
        <f t="shared" si="16"/>
        <v>1442.7315430629749</v>
      </c>
      <c r="R46" s="386">
        <f t="shared" si="16"/>
        <v>1312.7872200039305</v>
      </c>
      <c r="S46" s="386">
        <f t="shared" si="16"/>
        <v>1182.8428969448867</v>
      </c>
      <c r="T46" s="386">
        <f t="shared" si="16"/>
        <v>1052.8985738858419</v>
      </c>
      <c r="U46" s="386">
        <f t="shared" si="16"/>
        <v>922.95425082679844</v>
      </c>
      <c r="V46" s="386">
        <f t="shared" si="16"/>
        <v>793.00992776775331</v>
      </c>
      <c r="W46" s="386">
        <f t="shared" si="16"/>
        <v>663.06560470871045</v>
      </c>
      <c r="X46" s="386">
        <f t="shared" si="16"/>
        <v>590.41854425271288</v>
      </c>
      <c r="Y46" s="386">
        <f t="shared" si="16"/>
        <v>517.77148379671439</v>
      </c>
      <c r="Z46" s="386">
        <f t="shared" si="16"/>
        <v>445.12442334071551</v>
      </c>
      <c r="AA46" s="386">
        <f t="shared" si="16"/>
        <v>372.47736288471754</v>
      </c>
      <c r="AB46" s="386">
        <f t="shared" si="16"/>
        <v>299.83030242871956</v>
      </c>
      <c r="AC46" s="386">
        <f t="shared" si="16"/>
        <v>227.18324197272065</v>
      </c>
      <c r="AD46" s="386">
        <f t="shared" si="16"/>
        <v>154.53618151672538</v>
      </c>
      <c r="AE46" s="386">
        <f t="shared" si="16"/>
        <v>81.889121060726438</v>
      </c>
      <c r="AF46" s="386">
        <f t="shared" si="16"/>
        <v>9.2420606047275555</v>
      </c>
      <c r="AG46" s="386">
        <f t="shared" si="16"/>
        <v>-63.303755877905587</v>
      </c>
      <c r="AH46" s="387">
        <f>SUM(M46:AG46)</f>
        <v>17075.828386023812</v>
      </c>
    </row>
    <row r="47" spans="2:36">
      <c r="B47" s="1"/>
      <c r="D47" s="231"/>
      <c r="E47" s="231"/>
      <c r="F47" s="231"/>
      <c r="M47" s="413" t="e">
        <f>M46/#REF!-1</f>
        <v>#REF!</v>
      </c>
      <c r="N47" s="348"/>
      <c r="O47" s="348"/>
      <c r="P47" s="348"/>
      <c r="Q47" s="348"/>
      <c r="R47" s="348"/>
      <c r="S47" s="348"/>
      <c r="T47" s="348"/>
      <c r="U47" s="348"/>
      <c r="V47" s="348"/>
      <c r="W47" s="413" t="e">
        <f>W46/#REF!-1</f>
        <v>#REF!</v>
      </c>
      <c r="X47" s="348"/>
      <c r="Y47" s="348"/>
      <c r="Z47" s="348"/>
      <c r="AA47" s="348"/>
      <c r="AB47" s="348"/>
      <c r="AC47" s="348"/>
      <c r="AD47" s="348"/>
      <c r="AE47" s="348"/>
      <c r="AF47" s="348"/>
      <c r="AG47" s="413" t="e">
        <f>AG46/#REF!-1</f>
        <v>#REF!</v>
      </c>
      <c r="AH47" s="234"/>
    </row>
    <row r="48" spans="2:36">
      <c r="B48" s="65" t="s">
        <v>275</v>
      </c>
      <c r="C48" s="12"/>
      <c r="D48" s="327"/>
      <c r="E48" s="327"/>
      <c r="F48" s="327"/>
      <c r="G48" s="12"/>
      <c r="H48" s="12"/>
      <c r="I48" s="12"/>
      <c r="J48" s="232"/>
      <c r="K48" s="232"/>
      <c r="L48" s="12"/>
      <c r="M48" s="389"/>
      <c r="N48" s="389"/>
      <c r="O48" s="389"/>
      <c r="P48" s="389"/>
      <c r="Q48" s="389"/>
      <c r="R48" s="389"/>
      <c r="S48" s="389"/>
      <c r="T48" s="389"/>
      <c r="U48" s="389"/>
      <c r="V48" s="389"/>
      <c r="W48" s="389"/>
      <c r="X48" s="389"/>
      <c r="Y48" s="389"/>
      <c r="Z48" s="389"/>
      <c r="AA48" s="389"/>
      <c r="AB48" s="389"/>
      <c r="AC48" s="389"/>
      <c r="AD48" s="389"/>
      <c r="AE48" s="389"/>
      <c r="AF48" s="389"/>
      <c r="AG48" s="389"/>
      <c r="AH48" s="233"/>
      <c r="AJ48" s="1" t="s">
        <v>265</v>
      </c>
    </row>
    <row r="49" spans="2:36">
      <c r="B49" s="12" t="s">
        <v>276</v>
      </c>
      <c r="C49" s="12"/>
      <c r="D49" s="327"/>
      <c r="E49" s="327"/>
      <c r="F49" s="327"/>
      <c r="G49" s="12"/>
      <c r="H49" s="12"/>
      <c r="I49" s="12"/>
      <c r="J49" s="232"/>
      <c r="K49" s="232"/>
      <c r="L49" s="12"/>
      <c r="M49" s="412">
        <f t="shared" ref="M49:AG49" si="17">M42</f>
        <v>-47.945</v>
      </c>
      <c r="N49" s="348">
        <f t="shared" si="17"/>
        <v>-47.945</v>
      </c>
      <c r="O49" s="348">
        <f t="shared" si="17"/>
        <v>-60.945000000000007</v>
      </c>
      <c r="P49" s="348">
        <f t="shared" si="17"/>
        <v>-96.326875000000001</v>
      </c>
      <c r="Q49" s="348">
        <f t="shared" si="17"/>
        <v>-131.70875000000001</v>
      </c>
      <c r="R49" s="348">
        <f t="shared" si="17"/>
        <v>-167.09062500000005</v>
      </c>
      <c r="S49" s="348">
        <f t="shared" si="17"/>
        <v>-202.47250000000008</v>
      </c>
      <c r="T49" s="348">
        <f t="shared" si="17"/>
        <v>-237.854375</v>
      </c>
      <c r="U49" s="348">
        <f t="shared" si="17"/>
        <v>-273.23625000000004</v>
      </c>
      <c r="V49" s="348">
        <f t="shared" si="17"/>
        <v>-308.61812499999996</v>
      </c>
      <c r="W49" s="390">
        <f t="shared" si="17"/>
        <v>-344</v>
      </c>
      <c r="X49" s="348">
        <f t="shared" si="17"/>
        <v>-354.79999999999995</v>
      </c>
      <c r="Y49" s="348">
        <f t="shared" si="17"/>
        <v>-365.59999999999991</v>
      </c>
      <c r="Z49" s="348">
        <f t="shared" si="17"/>
        <v>-376.40000000000009</v>
      </c>
      <c r="AA49" s="348">
        <f t="shared" si="17"/>
        <v>-387.19999999999982</v>
      </c>
      <c r="AB49" s="348">
        <f t="shared" si="17"/>
        <v>-398</v>
      </c>
      <c r="AC49" s="348">
        <f t="shared" si="17"/>
        <v>-400</v>
      </c>
      <c r="AD49" s="348">
        <f t="shared" si="17"/>
        <v>-400</v>
      </c>
      <c r="AE49" s="348">
        <f t="shared" si="17"/>
        <v>-400</v>
      </c>
      <c r="AF49" s="348">
        <f t="shared" si="17"/>
        <v>-400</v>
      </c>
      <c r="AG49" s="390">
        <f t="shared" si="17"/>
        <v>-400</v>
      </c>
      <c r="AH49" s="389">
        <f t="shared" ref="AH49:AH52" si="18">SUM(M49:AG49)</f>
        <v>-5800.1424999999999</v>
      </c>
    </row>
    <row r="50" spans="2:36">
      <c r="B50" s="227" t="s">
        <v>277</v>
      </c>
      <c r="C50" s="12"/>
      <c r="D50" s="327"/>
      <c r="E50" s="327"/>
      <c r="F50" s="327"/>
      <c r="G50" s="12"/>
      <c r="H50" s="12"/>
      <c r="I50" s="12"/>
      <c r="J50" s="232"/>
      <c r="K50" s="232"/>
      <c r="L50" s="12"/>
      <c r="M50" s="390">
        <f>-'Carbon capture'!B55</f>
        <v>-44.254570643577573</v>
      </c>
      <c r="N50" s="348">
        <f t="shared" ref="N50:P52" si="19">M50-($M50-$W50)/10</f>
        <v>-64.122774571419413</v>
      </c>
      <c r="O50" s="348">
        <f t="shared" si="19"/>
        <v>-83.99097849926126</v>
      </c>
      <c r="P50" s="348">
        <f t="shared" si="19"/>
        <v>-103.85918242710311</v>
      </c>
      <c r="Q50" s="348">
        <f t="shared" ref="Q50" si="20">P50-($M50-$W50)/10</f>
        <v>-123.72738635494495</v>
      </c>
      <c r="R50" s="348">
        <f t="shared" ref="R50" si="21">Q50-($M50-$W50)/10</f>
        <v>-143.59559028278679</v>
      </c>
      <c r="S50" s="348">
        <f t="shared" ref="S50" si="22">R50-($M50-$W50)/10</f>
        <v>-163.46379421062863</v>
      </c>
      <c r="T50" s="348">
        <f t="shared" ref="T50" si="23">S50-($M50-$W50)/10</f>
        <v>-183.33199813847048</v>
      </c>
      <c r="U50" s="348">
        <f t="shared" ref="U50" si="24">T50-($M50-$W50)/10</f>
        <v>-203.20020206631233</v>
      </c>
      <c r="V50" s="348">
        <f t="shared" ref="V50" si="25">U50-($M50-$W50)/10</f>
        <v>-223.06840599415418</v>
      </c>
      <c r="W50" s="390">
        <f>-'Carbon capture'!E55</f>
        <v>-242.93660992199602</v>
      </c>
      <c r="X50" s="348">
        <f>W50-0.4</f>
        <v>-243.33660992199603</v>
      </c>
      <c r="Y50" s="348">
        <f t="shared" ref="Y50:AF50" si="26">X50-0.4</f>
        <v>-243.73660992199603</v>
      </c>
      <c r="Z50" s="348">
        <f t="shared" si="26"/>
        <v>-244.13660992199604</v>
      </c>
      <c r="AA50" s="348">
        <f t="shared" si="26"/>
        <v>-244.53660992199605</v>
      </c>
      <c r="AB50" s="348">
        <f t="shared" si="26"/>
        <v>-244.93660992199605</v>
      </c>
      <c r="AC50" s="348">
        <f t="shared" si="26"/>
        <v>-245.33660992199606</v>
      </c>
      <c r="AD50" s="348">
        <f t="shared" si="26"/>
        <v>-245.73660992199606</v>
      </c>
      <c r="AE50" s="348">
        <f t="shared" si="26"/>
        <v>-246.13660992199607</v>
      </c>
      <c r="AF50" s="348">
        <f t="shared" si="26"/>
        <v>-246.53660992199607</v>
      </c>
      <c r="AG50" s="390">
        <f>-'Carbon capture'!J55</f>
        <v>-246.83536594863119</v>
      </c>
      <c r="AH50" s="328">
        <f t="shared" si="18"/>
        <v>-4030.8163483572503</v>
      </c>
      <c r="AJ50" s="12" t="s">
        <v>278</v>
      </c>
    </row>
    <row r="51" spans="2:36">
      <c r="B51" s="227" t="s">
        <v>279</v>
      </c>
      <c r="C51" s="12"/>
      <c r="D51" s="327"/>
      <c r="E51" s="327"/>
      <c r="F51" s="327"/>
      <c r="G51" s="12"/>
      <c r="H51" s="12"/>
      <c r="I51" s="12"/>
      <c r="J51" s="232"/>
      <c r="K51" s="232"/>
      <c r="L51" s="12"/>
      <c r="M51" s="390">
        <f>-'Carbon capture'!B57</f>
        <v>0</v>
      </c>
      <c r="N51" s="348">
        <f t="shared" si="19"/>
        <v>0</v>
      </c>
      <c r="O51" s="348">
        <f t="shared" si="19"/>
        <v>0</v>
      </c>
      <c r="P51" s="348">
        <f t="shared" si="19"/>
        <v>0</v>
      </c>
      <c r="Q51" s="348">
        <f t="shared" ref="Q51" si="27">P51-($M51-$W51)/10</f>
        <v>0</v>
      </c>
      <c r="R51" s="348">
        <f t="shared" ref="R51" si="28">Q51-($M51-$W51)/10</f>
        <v>0</v>
      </c>
      <c r="S51" s="348">
        <f t="shared" ref="S51" si="29">R51-($M51-$W51)/10</f>
        <v>0</v>
      </c>
      <c r="T51" s="348">
        <f t="shared" ref="T51" si="30">S51-($M51-$W51)/10</f>
        <v>0</v>
      </c>
      <c r="U51" s="348">
        <f t="shared" ref="U51" si="31">T51-($M51-$W51)/10</f>
        <v>0</v>
      </c>
      <c r="V51" s="348">
        <f t="shared" ref="V51" si="32">U51-($M51-$W51)/10</f>
        <v>0</v>
      </c>
      <c r="W51" s="390">
        <f>-'Carbon capture'!E57</f>
        <v>0</v>
      </c>
      <c r="X51" s="348">
        <f t="shared" ref="X51:AF52" si="33">W51-($W51-$AG51)/10</f>
        <v>-5.8717697291811728</v>
      </c>
      <c r="Y51" s="348">
        <f t="shared" si="33"/>
        <v>-11.743539458362346</v>
      </c>
      <c r="Z51" s="348">
        <f t="shared" si="33"/>
        <v>-17.615309187543517</v>
      </c>
      <c r="AA51" s="348">
        <f t="shared" si="33"/>
        <v>-23.487078916724691</v>
      </c>
      <c r="AB51" s="348">
        <f t="shared" si="33"/>
        <v>-29.358848645905866</v>
      </c>
      <c r="AC51" s="348">
        <f t="shared" si="33"/>
        <v>-35.23061837508704</v>
      </c>
      <c r="AD51" s="348">
        <f t="shared" si="33"/>
        <v>-41.102388104268215</v>
      </c>
      <c r="AE51" s="348">
        <f t="shared" si="33"/>
        <v>-46.974157833449389</v>
      </c>
      <c r="AF51" s="348">
        <f t="shared" si="33"/>
        <v>-52.845927562630564</v>
      </c>
      <c r="AG51" s="390">
        <f>-'Carbon capture'!J57</f>
        <v>-58.717697291811731</v>
      </c>
      <c r="AH51" s="328">
        <f t="shared" si="18"/>
        <v>-322.94733510496451</v>
      </c>
      <c r="AJ51" s="12" t="s">
        <v>278</v>
      </c>
    </row>
    <row r="52" spans="2:36">
      <c r="B52" s="227" t="s">
        <v>123</v>
      </c>
      <c r="C52" s="12"/>
      <c r="D52" s="327"/>
      <c r="E52" s="327"/>
      <c r="F52" s="327"/>
      <c r="G52" s="12"/>
      <c r="H52" s="12"/>
      <c r="I52" s="12"/>
      <c r="J52" s="232"/>
      <c r="K52" s="232"/>
      <c r="L52" s="12"/>
      <c r="M52" s="390">
        <f>-'Carbon capture'!B56</f>
        <v>-5.8540890681024669</v>
      </c>
      <c r="N52" s="348">
        <f t="shared" si="19"/>
        <v>-15.346492269995412</v>
      </c>
      <c r="O52" s="348">
        <f t="shared" si="19"/>
        <v>-24.838895471888357</v>
      </c>
      <c r="P52" s="348">
        <f t="shared" si="19"/>
        <v>-34.331298673781305</v>
      </c>
      <c r="Q52" s="348">
        <f t="shared" ref="Q52" si="34">P52-($M52-$W52)/10</f>
        <v>-43.823701875674246</v>
      </c>
      <c r="R52" s="348">
        <f t="shared" ref="R52" si="35">Q52-($M52-$W52)/10</f>
        <v>-53.316105077567187</v>
      </c>
      <c r="S52" s="348">
        <f t="shared" ref="S52" si="36">R52-($M52-$W52)/10</f>
        <v>-62.808508279460128</v>
      </c>
      <c r="T52" s="348">
        <f t="shared" ref="T52" si="37">S52-($M52-$W52)/10</f>
        <v>-72.300911481353069</v>
      </c>
      <c r="U52" s="348">
        <f t="shared" ref="U52" si="38">T52-($M52-$W52)/10</f>
        <v>-81.79331468324601</v>
      </c>
      <c r="V52" s="348">
        <f t="shared" ref="V52" si="39">U52-($M52-$W52)/10</f>
        <v>-91.285717885138951</v>
      </c>
      <c r="W52" s="390">
        <f>-'Carbon capture'!E56</f>
        <v>-100.77812108703191</v>
      </c>
      <c r="X52" s="348">
        <f t="shared" si="33"/>
        <v>-105.37486359377772</v>
      </c>
      <c r="Y52" s="348">
        <f t="shared" si="33"/>
        <v>-109.97160610052353</v>
      </c>
      <c r="Z52" s="348">
        <f t="shared" si="33"/>
        <v>-114.56834860726934</v>
      </c>
      <c r="AA52" s="348">
        <f t="shared" si="33"/>
        <v>-119.16509111401515</v>
      </c>
      <c r="AB52" s="348">
        <f t="shared" si="33"/>
        <v>-123.76183362076097</v>
      </c>
      <c r="AC52" s="348">
        <f t="shared" si="33"/>
        <v>-128.35857612750678</v>
      </c>
      <c r="AD52" s="348">
        <f t="shared" si="33"/>
        <v>-132.95531863425259</v>
      </c>
      <c r="AE52" s="348">
        <f t="shared" si="33"/>
        <v>-137.5520611409984</v>
      </c>
      <c r="AF52" s="348">
        <f t="shared" si="33"/>
        <v>-142.14880364774422</v>
      </c>
      <c r="AG52" s="390">
        <f>-'Carbon capture'!J56</f>
        <v>-146.74554615449003</v>
      </c>
      <c r="AH52" s="328">
        <f t="shared" si="18"/>
        <v>-1847.0792045945777</v>
      </c>
      <c r="AJ52" s="12" t="s">
        <v>278</v>
      </c>
    </row>
    <row r="53" spans="2:36">
      <c r="B53" s="12" t="s">
        <v>280</v>
      </c>
      <c r="C53" s="12"/>
      <c r="D53" s="327"/>
      <c r="E53" s="327"/>
      <c r="F53" s="327"/>
      <c r="G53" s="12"/>
      <c r="H53" s="12"/>
      <c r="I53" s="12"/>
      <c r="J53" s="232"/>
      <c r="K53" s="232"/>
      <c r="L53" s="12"/>
      <c r="M53" s="348">
        <f>M50-M49</f>
        <v>3.6904293564224275</v>
      </c>
      <c r="N53" s="348">
        <f>N50-N49</f>
        <v>-16.177774571419413</v>
      </c>
      <c r="O53" s="348">
        <f t="shared" ref="O53:V53" si="40">O50-O49</f>
        <v>-23.045978499261253</v>
      </c>
      <c r="P53" s="348">
        <f t="shared" si="40"/>
        <v>-7.5323074271031061</v>
      </c>
      <c r="Q53" s="348">
        <f t="shared" si="40"/>
        <v>7.9813636450550547</v>
      </c>
      <c r="R53" s="348">
        <f t="shared" si="40"/>
        <v>23.495034717213258</v>
      </c>
      <c r="S53" s="348">
        <f t="shared" si="40"/>
        <v>39.008705789371447</v>
      </c>
      <c r="T53" s="348">
        <f t="shared" si="40"/>
        <v>54.522376861529523</v>
      </c>
      <c r="U53" s="348">
        <f t="shared" si="40"/>
        <v>70.036047933687712</v>
      </c>
      <c r="V53" s="348">
        <f t="shared" si="40"/>
        <v>85.549719005845787</v>
      </c>
      <c r="W53" s="348">
        <f>(W50+W51)-W49</f>
        <v>101.06339007800398</v>
      </c>
      <c r="X53" s="348">
        <f>(X50+X51)-X49</f>
        <v>105.59162034882274</v>
      </c>
      <c r="Y53" s="348">
        <f t="shared" ref="Y53:AG53" si="41">(Y50+Y51)-Y49</f>
        <v>110.11985061964154</v>
      </c>
      <c r="Z53" s="348">
        <f t="shared" si="41"/>
        <v>114.64808089046051</v>
      </c>
      <c r="AA53" s="348">
        <f t="shared" si="41"/>
        <v>119.1763111612791</v>
      </c>
      <c r="AB53" s="348">
        <f t="shared" si="41"/>
        <v>123.7045414320981</v>
      </c>
      <c r="AC53" s="348">
        <f t="shared" si="41"/>
        <v>119.43277170291691</v>
      </c>
      <c r="AD53" s="348">
        <f t="shared" si="41"/>
        <v>113.16100197373572</v>
      </c>
      <c r="AE53" s="348">
        <f t="shared" si="41"/>
        <v>106.88923224455453</v>
      </c>
      <c r="AF53" s="348">
        <f t="shared" si="41"/>
        <v>100.61746251537335</v>
      </c>
      <c r="AG53" s="348">
        <f t="shared" si="41"/>
        <v>94.446936759557047</v>
      </c>
      <c r="AH53" s="328">
        <f>SUM(M53:AG53)</f>
        <v>1446.3788165377846</v>
      </c>
    </row>
    <row r="54" spans="2:36">
      <c r="B54" s="12"/>
      <c r="C54" s="12"/>
      <c r="D54" s="327"/>
      <c r="E54" s="327"/>
      <c r="F54" s="327"/>
      <c r="G54" s="12"/>
      <c r="H54" s="12"/>
      <c r="I54" s="12"/>
      <c r="J54" s="232"/>
      <c r="K54" s="232"/>
      <c r="L54" s="12"/>
      <c r="M54" s="348"/>
      <c r="N54" s="348"/>
      <c r="O54" s="348"/>
      <c r="P54" s="348"/>
      <c r="Q54" s="348"/>
      <c r="R54" s="348"/>
      <c r="S54" s="348"/>
      <c r="T54" s="348"/>
      <c r="U54" s="348"/>
      <c r="V54" s="348"/>
      <c r="W54" s="348"/>
      <c r="X54" s="348"/>
      <c r="Y54" s="348"/>
      <c r="Z54" s="348"/>
      <c r="AA54" s="348"/>
      <c r="AB54" s="348"/>
      <c r="AC54" s="348"/>
      <c r="AD54" s="348"/>
      <c r="AE54" s="348"/>
      <c r="AF54" s="348"/>
      <c r="AG54" s="348"/>
      <c r="AH54" s="328"/>
    </row>
    <row r="55" spans="2:36">
      <c r="B55" s="65" t="s">
        <v>281</v>
      </c>
      <c r="C55" s="12"/>
      <c r="D55" s="327"/>
      <c r="E55" s="327"/>
      <c r="F55" s="327"/>
      <c r="G55" s="12"/>
      <c r="H55" s="12"/>
      <c r="I55" s="12"/>
      <c r="J55" s="232"/>
      <c r="K55" s="232"/>
      <c r="L55" s="12"/>
      <c r="M55" s="348"/>
      <c r="N55" s="348"/>
      <c r="O55" s="348"/>
      <c r="P55" s="348"/>
      <c r="Q55" s="348"/>
      <c r="R55" s="348"/>
      <c r="S55" s="348"/>
      <c r="T55" s="348"/>
      <c r="U55" s="348"/>
      <c r="V55" s="348"/>
      <c r="W55" s="348"/>
      <c r="X55" s="348"/>
      <c r="Y55" s="348"/>
      <c r="Z55" s="348"/>
      <c r="AA55" s="348"/>
      <c r="AB55" s="348"/>
      <c r="AC55" s="348"/>
      <c r="AD55" s="348"/>
      <c r="AE55" s="348"/>
      <c r="AF55" s="348"/>
      <c r="AG55" s="348"/>
      <c r="AH55" s="328"/>
    </row>
    <row r="56" spans="2:36">
      <c r="B56" s="12" t="s">
        <v>282</v>
      </c>
      <c r="C56" s="12"/>
      <c r="D56" s="65"/>
      <c r="E56" s="12"/>
      <c r="F56" s="12"/>
      <c r="G56" s="12"/>
      <c r="H56" s="12"/>
      <c r="I56" s="12"/>
      <c r="J56" s="232"/>
      <c r="K56" s="232"/>
      <c r="L56" s="12"/>
      <c r="M56" s="390">
        <v>76</v>
      </c>
      <c r="N56" s="348">
        <f t="shared" ref="N56:V56" si="42">M56-($M56-$W56)/10</f>
        <v>69.099999999999994</v>
      </c>
      <c r="O56" s="348">
        <f t="shared" si="42"/>
        <v>62.199999999999996</v>
      </c>
      <c r="P56" s="348">
        <f t="shared" si="42"/>
        <v>55.3</v>
      </c>
      <c r="Q56" s="348">
        <f t="shared" si="42"/>
        <v>48.4</v>
      </c>
      <c r="R56" s="348">
        <f t="shared" si="42"/>
        <v>41.5</v>
      </c>
      <c r="S56" s="348">
        <f t="shared" si="42"/>
        <v>34.6</v>
      </c>
      <c r="T56" s="348">
        <f t="shared" si="42"/>
        <v>27.700000000000003</v>
      </c>
      <c r="U56" s="348">
        <f t="shared" si="42"/>
        <v>20.800000000000004</v>
      </c>
      <c r="V56" s="348">
        <f t="shared" si="42"/>
        <v>13.900000000000004</v>
      </c>
      <c r="W56" s="390">
        <v>7</v>
      </c>
      <c r="X56" s="348">
        <f t="shared" ref="X56:AF56" si="43">W56-($W56-$AG56)/10</f>
        <v>6.9</v>
      </c>
      <c r="Y56" s="348">
        <f t="shared" si="43"/>
        <v>6.8000000000000007</v>
      </c>
      <c r="Z56" s="348">
        <f t="shared" si="43"/>
        <v>6.7000000000000011</v>
      </c>
      <c r="AA56" s="348">
        <f t="shared" si="43"/>
        <v>6.6000000000000014</v>
      </c>
      <c r="AB56" s="348">
        <f t="shared" si="43"/>
        <v>6.5000000000000018</v>
      </c>
      <c r="AC56" s="348">
        <f t="shared" si="43"/>
        <v>6.4000000000000021</v>
      </c>
      <c r="AD56" s="348">
        <f t="shared" si="43"/>
        <v>6.3000000000000025</v>
      </c>
      <c r="AE56" s="348">
        <f t="shared" si="43"/>
        <v>6.2000000000000028</v>
      </c>
      <c r="AF56" s="348">
        <f t="shared" si="43"/>
        <v>6.1000000000000032</v>
      </c>
      <c r="AG56" s="390">
        <v>6</v>
      </c>
      <c r="AH56" s="328">
        <f t="shared" ref="AH56:AH57" si="44">SUM(M56:AG56)</f>
        <v>520.99999999999989</v>
      </c>
      <c r="AJ56" s="243" t="s">
        <v>283</v>
      </c>
    </row>
    <row r="57" spans="2:36">
      <c r="B57" s="12" t="s">
        <v>284</v>
      </c>
      <c r="C57" s="12"/>
      <c r="D57" s="65"/>
      <c r="E57" s="12"/>
      <c r="F57" s="12"/>
      <c r="G57" s="12"/>
      <c r="H57" s="12"/>
      <c r="I57" s="12"/>
      <c r="J57" s="232"/>
      <c r="K57" s="232"/>
      <c r="L57" s="12"/>
      <c r="M57" s="391">
        <v>32</v>
      </c>
      <c r="N57" s="348">
        <f t="shared" ref="N57:V57" si="45">M57-($M57-$W57)/10</f>
        <v>37.200000000000003</v>
      </c>
      <c r="O57" s="348">
        <f t="shared" si="45"/>
        <v>42.400000000000006</v>
      </c>
      <c r="P57" s="348">
        <f t="shared" si="45"/>
        <v>47.600000000000009</v>
      </c>
      <c r="Q57" s="348">
        <f t="shared" si="45"/>
        <v>52.800000000000011</v>
      </c>
      <c r="R57" s="348">
        <f t="shared" si="45"/>
        <v>58.000000000000014</v>
      </c>
      <c r="S57" s="348">
        <f t="shared" si="45"/>
        <v>63.200000000000017</v>
      </c>
      <c r="T57" s="348">
        <f t="shared" si="45"/>
        <v>68.40000000000002</v>
      </c>
      <c r="U57" s="348">
        <f t="shared" si="45"/>
        <v>73.600000000000023</v>
      </c>
      <c r="V57" s="348">
        <f t="shared" si="45"/>
        <v>78.800000000000026</v>
      </c>
      <c r="W57" s="391">
        <v>84</v>
      </c>
      <c r="X57" s="348">
        <f t="shared" ref="X57:AF57" si="46">W57-($W57-$AG57)/10</f>
        <v>84.5</v>
      </c>
      <c r="Y57" s="348">
        <f t="shared" si="46"/>
        <v>85</v>
      </c>
      <c r="Z57" s="348">
        <f t="shared" si="46"/>
        <v>85.5</v>
      </c>
      <c r="AA57" s="348">
        <f t="shared" si="46"/>
        <v>86</v>
      </c>
      <c r="AB57" s="348">
        <f t="shared" si="46"/>
        <v>86.5</v>
      </c>
      <c r="AC57" s="348">
        <f t="shared" si="46"/>
        <v>87</v>
      </c>
      <c r="AD57" s="348">
        <f t="shared" si="46"/>
        <v>87.5</v>
      </c>
      <c r="AE57" s="348">
        <f>AD57-($W57-$AG57)/10</f>
        <v>88</v>
      </c>
      <c r="AF57" s="348">
        <f t="shared" si="46"/>
        <v>88.5</v>
      </c>
      <c r="AG57" s="391">
        <v>89</v>
      </c>
      <c r="AH57" s="328">
        <f t="shared" si="44"/>
        <v>1505.5</v>
      </c>
      <c r="AJ57" s="243" t="s">
        <v>285</v>
      </c>
    </row>
    <row r="58" spans="2:36">
      <c r="B58" s="12" t="s">
        <v>286</v>
      </c>
      <c r="C58" s="12"/>
      <c r="D58" s="65"/>
      <c r="E58" s="12"/>
      <c r="F58" s="12"/>
      <c r="G58" s="12"/>
      <c r="H58" s="12"/>
      <c r="I58" s="12"/>
      <c r="J58" s="232"/>
      <c r="K58" s="232"/>
      <c r="L58" s="12"/>
      <c r="M58" s="389">
        <f>M57+M56</f>
        <v>108</v>
      </c>
      <c r="N58" s="389">
        <f t="shared" ref="N58:AG58" si="47">N57+N56</f>
        <v>106.3</v>
      </c>
      <c r="O58" s="389">
        <f t="shared" si="47"/>
        <v>104.6</v>
      </c>
      <c r="P58" s="389">
        <f t="shared" si="47"/>
        <v>102.9</v>
      </c>
      <c r="Q58" s="389">
        <f t="shared" si="47"/>
        <v>101.20000000000002</v>
      </c>
      <c r="R58" s="389">
        <f t="shared" si="47"/>
        <v>99.500000000000014</v>
      </c>
      <c r="S58" s="389">
        <f t="shared" si="47"/>
        <v>97.800000000000011</v>
      </c>
      <c r="T58" s="389">
        <f t="shared" si="47"/>
        <v>96.100000000000023</v>
      </c>
      <c r="U58" s="389">
        <f t="shared" si="47"/>
        <v>94.400000000000034</v>
      </c>
      <c r="V58" s="389">
        <f t="shared" si="47"/>
        <v>92.700000000000031</v>
      </c>
      <c r="W58" s="389">
        <f t="shared" si="47"/>
        <v>91</v>
      </c>
      <c r="X58" s="389">
        <f t="shared" si="47"/>
        <v>91.4</v>
      </c>
      <c r="Y58" s="389">
        <f t="shared" si="47"/>
        <v>91.8</v>
      </c>
      <c r="Z58" s="389">
        <f t="shared" si="47"/>
        <v>92.2</v>
      </c>
      <c r="AA58" s="389">
        <f t="shared" si="47"/>
        <v>92.6</v>
      </c>
      <c r="AB58" s="389">
        <f t="shared" si="47"/>
        <v>93</v>
      </c>
      <c r="AC58" s="389">
        <f t="shared" si="47"/>
        <v>93.4</v>
      </c>
      <c r="AD58" s="389">
        <f t="shared" si="47"/>
        <v>93.8</v>
      </c>
      <c r="AE58" s="389">
        <f t="shared" si="47"/>
        <v>94.2</v>
      </c>
      <c r="AF58" s="389">
        <f t="shared" si="47"/>
        <v>94.600000000000009</v>
      </c>
      <c r="AG58" s="389">
        <f t="shared" si="47"/>
        <v>95</v>
      </c>
      <c r="AH58" s="328">
        <f>SUM(M58:AG58)</f>
        <v>2026.5</v>
      </c>
    </row>
    <row r="59" spans="2:36">
      <c r="D59" s="231"/>
      <c r="E59" s="231"/>
      <c r="F59" s="231"/>
    </row>
    <row r="60" spans="2:36">
      <c r="B60" s="12" t="s">
        <v>287</v>
      </c>
      <c r="D60" s="231"/>
      <c r="E60" s="231"/>
      <c r="F60" s="231"/>
    </row>
    <row r="61" spans="2:36">
      <c r="D61" s="231"/>
      <c r="E61" s="231"/>
      <c r="F61" s="231"/>
    </row>
    <row r="63" spans="2:36">
      <c r="M63" s="117"/>
      <c r="N63" s="117"/>
      <c r="O63" s="117"/>
      <c r="P63" s="117"/>
      <c r="Q63" s="117"/>
      <c r="R63" s="117"/>
      <c r="S63" s="117"/>
      <c r="T63" s="117"/>
      <c r="U63" s="117"/>
      <c r="V63" s="117"/>
      <c r="W63" s="117"/>
      <c r="X63" s="117"/>
      <c r="Y63" s="117"/>
      <c r="Z63" s="117"/>
      <c r="AA63" s="117"/>
      <c r="AB63" s="117"/>
      <c r="AC63" s="117"/>
      <c r="AD63" s="117"/>
      <c r="AE63" s="117"/>
      <c r="AF63" s="117"/>
      <c r="AG63" s="117"/>
    </row>
    <row r="64" spans="2:36">
      <c r="M64" s="38"/>
      <c r="N64" s="38"/>
      <c r="O64" s="38"/>
      <c r="P64" s="38"/>
      <c r="Q64" s="38"/>
      <c r="R64" s="38"/>
      <c r="S64" s="38"/>
      <c r="T64" s="38"/>
      <c r="U64" s="38"/>
      <c r="V64" s="38"/>
      <c r="W64" s="38"/>
      <c r="X64" s="38"/>
      <c r="Y64" s="38"/>
      <c r="Z64" s="38"/>
      <c r="AA64" s="38"/>
      <c r="AB64" s="38"/>
      <c r="AC64" s="38"/>
      <c r="AD64" s="38"/>
      <c r="AE64" s="38"/>
      <c r="AF64" s="38"/>
      <c r="AG64" s="38"/>
    </row>
    <row r="65" spans="13:13">
      <c r="M65" s="571"/>
    </row>
  </sheetData>
  <pageMargins left="0.7" right="0.7" top="0.75" bottom="0.75" header="0.3" footer="0.3"/>
  <pageSetup paperSize="9" orientation="portrait" r:id="rId1"/>
  <headerFooter>
    <oddFooter>&amp;C_x000D_&amp;1#&amp;"Calibri"&amp;10&amp;K000000 Intern/Internal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E8E79-D43F-43DD-8FD0-83447D2CD0C9}">
  <sheetPr>
    <tabColor theme="9" tint="0.59999389629810485"/>
  </sheetPr>
  <dimension ref="A1:P71"/>
  <sheetViews>
    <sheetView zoomScale="79" zoomScaleNormal="79" workbookViewId="0">
      <selection activeCell="L97" sqref="L97"/>
    </sheetView>
  </sheetViews>
  <sheetFormatPr defaultRowHeight="15"/>
  <cols>
    <col min="1" max="1" width="30.28515625" customWidth="1"/>
  </cols>
  <sheetData>
    <row r="1" spans="1:5" s="16" customFormat="1" ht="16.899999999999999">
      <c r="A1" s="304" t="s">
        <v>126</v>
      </c>
    </row>
    <row r="3" spans="1:5">
      <c r="A3" s="15" t="s">
        <v>288</v>
      </c>
    </row>
    <row r="4" spans="1:5" ht="19.149999999999999">
      <c r="A4" s="185"/>
    </row>
    <row r="6" spans="1:5" ht="16.899999999999999">
      <c r="B6" s="186" t="s">
        <v>35</v>
      </c>
      <c r="C6" s="186"/>
      <c r="D6" s="186" t="s">
        <v>36</v>
      </c>
      <c r="E6" s="186"/>
    </row>
    <row r="7" spans="1:5" ht="16.899999999999999">
      <c r="B7" s="187">
        <v>2040</v>
      </c>
      <c r="C7" s="187">
        <v>2050</v>
      </c>
      <c r="D7" s="187">
        <v>2040</v>
      </c>
      <c r="E7" s="187">
        <v>2050</v>
      </c>
    </row>
    <row r="8" spans="1:5" ht="16.899999999999999">
      <c r="A8" s="187" t="s">
        <v>289</v>
      </c>
      <c r="B8" s="188">
        <v>53.280039999999993</v>
      </c>
      <c r="C8" s="188">
        <v>49.170970000000004</v>
      </c>
      <c r="D8" s="188">
        <v>39.376989999999999</v>
      </c>
      <c r="E8" s="188">
        <v>46.94397</v>
      </c>
    </row>
    <row r="9" spans="1:5" ht="16.899999999999999">
      <c r="A9" s="187" t="s">
        <v>290</v>
      </c>
      <c r="B9" s="188">
        <v>50.013559999999998</v>
      </c>
      <c r="C9" s="188">
        <v>46.393360000000001</v>
      </c>
      <c r="D9" s="188">
        <v>36.936460000000004</v>
      </c>
      <c r="E9" s="188">
        <v>44.180039999999998</v>
      </c>
    </row>
    <row r="10" spans="1:5" ht="16.899999999999999">
      <c r="A10" s="187" t="s">
        <v>291</v>
      </c>
      <c r="B10" s="188">
        <v>27.073220000000003</v>
      </c>
      <c r="C10" s="188">
        <v>60.716610000000003</v>
      </c>
      <c r="D10" s="188">
        <v>24.094099999999997</v>
      </c>
      <c r="E10" s="188">
        <v>56.85548</v>
      </c>
    </row>
    <row r="11" spans="1:5" ht="16.899999999999999">
      <c r="A11" s="187" t="s">
        <v>292</v>
      </c>
      <c r="B11" s="395">
        <v>136.6</v>
      </c>
      <c r="C11" s="396">
        <v>187.3</v>
      </c>
      <c r="D11" s="396">
        <v>144.1</v>
      </c>
      <c r="E11" s="396">
        <v>222.3</v>
      </c>
    </row>
    <row r="13" spans="1:5" ht="16.899999999999999">
      <c r="A13" s="197" t="s">
        <v>293</v>
      </c>
      <c r="B13" s="200">
        <f>SUM(B8:B10)</f>
        <v>130.36681999999999</v>
      </c>
      <c r="C13" s="200">
        <f>SUM(C8:C10)</f>
        <v>156.28094000000002</v>
      </c>
      <c r="D13" s="200">
        <f>SUM(D8:D10)</f>
        <v>100.40755</v>
      </c>
      <c r="E13" s="200">
        <f>SUM(E8:E10)</f>
        <v>147.97949</v>
      </c>
    </row>
    <row r="15" spans="1:5">
      <c r="A15" s="15" t="s">
        <v>294</v>
      </c>
    </row>
    <row r="16" spans="1:5">
      <c r="A16" s="15"/>
    </row>
    <row r="17" spans="1:16">
      <c r="B17" s="549" t="s">
        <v>32</v>
      </c>
      <c r="C17" s="550"/>
      <c r="D17" s="549" t="s">
        <v>35</v>
      </c>
      <c r="E17" s="550"/>
      <c r="F17" s="549" t="s">
        <v>36</v>
      </c>
      <c r="G17" s="550"/>
      <c r="H17" s="190"/>
      <c r="I17" s="190"/>
      <c r="J17" s="190"/>
      <c r="K17" s="190"/>
      <c r="L17" s="190"/>
      <c r="M17" s="190"/>
      <c r="N17" s="190"/>
      <c r="O17" s="190"/>
      <c r="P17" s="190"/>
    </row>
    <row r="18" spans="1:16">
      <c r="B18" s="329">
        <v>2030</v>
      </c>
      <c r="C18" s="329">
        <v>2040</v>
      </c>
      <c r="D18" s="192">
        <v>2040</v>
      </c>
      <c r="E18" s="192">
        <v>2050</v>
      </c>
      <c r="F18" s="192">
        <v>2040</v>
      </c>
      <c r="G18" s="192" t="s">
        <v>295</v>
      </c>
      <c r="H18" s="190"/>
      <c r="I18" s="190"/>
      <c r="J18" s="190"/>
      <c r="K18" s="190"/>
      <c r="L18" s="190"/>
      <c r="M18" s="190"/>
      <c r="N18" s="190"/>
      <c r="O18" s="190"/>
      <c r="P18" s="190"/>
    </row>
    <row r="19" spans="1:16">
      <c r="B19" s="330">
        <v>47.244999999999997</v>
      </c>
      <c r="C19" s="330">
        <v>344</v>
      </c>
      <c r="D19" s="330">
        <v>120</v>
      </c>
      <c r="E19" s="330">
        <v>150</v>
      </c>
      <c r="F19" s="331">
        <v>344</v>
      </c>
      <c r="G19" s="331">
        <v>452</v>
      </c>
      <c r="H19" s="190"/>
      <c r="I19" s="190"/>
      <c r="J19" s="190"/>
      <c r="K19" s="190"/>
      <c r="L19" s="190"/>
      <c r="M19" s="190"/>
      <c r="N19" s="190"/>
      <c r="O19" s="190"/>
      <c r="P19" s="190"/>
    </row>
    <row r="20" spans="1:16">
      <c r="A20" s="190"/>
      <c r="B20" s="325" t="s">
        <v>296</v>
      </c>
      <c r="C20" s="190"/>
      <c r="D20" s="190"/>
      <c r="E20" s="190"/>
      <c r="F20" s="190"/>
      <c r="G20" s="190"/>
      <c r="H20" s="190"/>
      <c r="I20" s="190"/>
      <c r="J20" s="190"/>
      <c r="K20" s="190"/>
      <c r="L20" s="190"/>
      <c r="M20" s="190"/>
      <c r="N20" s="190"/>
      <c r="O20" s="190"/>
      <c r="P20" s="190"/>
    </row>
    <row r="21" spans="1:16">
      <c r="A21" s="190"/>
      <c r="B21" s="190"/>
      <c r="C21" s="190"/>
      <c r="D21" s="190"/>
      <c r="E21" s="190"/>
      <c r="F21" s="190"/>
      <c r="G21" s="190"/>
      <c r="H21" s="190"/>
      <c r="I21" s="190"/>
      <c r="J21" s="190"/>
      <c r="K21" s="190"/>
      <c r="L21" s="190"/>
      <c r="M21" s="190"/>
      <c r="N21" s="190"/>
      <c r="O21" s="190"/>
      <c r="P21" s="190"/>
    </row>
    <row r="22" spans="1:16">
      <c r="A22" s="190"/>
      <c r="B22" s="549" t="s">
        <v>32</v>
      </c>
      <c r="C22" s="550"/>
      <c r="D22" s="549" t="s">
        <v>35</v>
      </c>
      <c r="E22" s="550"/>
      <c r="F22" s="549" t="s">
        <v>36</v>
      </c>
      <c r="G22" s="550"/>
      <c r="H22" s="190"/>
      <c r="I22" s="190"/>
      <c r="J22" s="190"/>
      <c r="K22" s="190"/>
      <c r="L22" s="190"/>
      <c r="M22" s="190"/>
      <c r="N22" s="190"/>
      <c r="O22" s="190"/>
      <c r="P22" s="190"/>
    </row>
    <row r="23" spans="1:16" ht="15.6" thickBot="1">
      <c r="A23" s="190"/>
      <c r="B23" s="335">
        <v>2030</v>
      </c>
      <c r="C23" s="335" t="s">
        <v>297</v>
      </c>
      <c r="D23" s="336">
        <v>2040</v>
      </c>
      <c r="E23" s="336">
        <v>2050</v>
      </c>
      <c r="F23" s="336">
        <v>2040</v>
      </c>
      <c r="G23" s="336" t="s">
        <v>295</v>
      </c>
      <c r="H23" s="190"/>
      <c r="I23" s="190"/>
      <c r="J23" s="190"/>
      <c r="K23" s="190"/>
      <c r="L23" s="190"/>
      <c r="M23" s="190"/>
      <c r="N23" s="190"/>
      <c r="O23" s="190"/>
      <c r="P23" s="190"/>
    </row>
    <row r="24" spans="1:16" ht="15.6" thickBot="1">
      <c r="A24" s="190" t="s">
        <v>298</v>
      </c>
      <c r="B24" s="397">
        <f>B19</f>
        <v>47.244999999999997</v>
      </c>
      <c r="C24" s="398">
        <f>SUM(D8:D10)+C19</f>
        <v>444.40755000000001</v>
      </c>
      <c r="D24" s="339">
        <f>D19+SUM(B8:B10)</f>
        <v>250.36681999999999</v>
      </c>
      <c r="E24" s="339">
        <f>E19+SUM(C8:C10)</f>
        <v>306.28093999999999</v>
      </c>
      <c r="F24" s="339">
        <f>F19+SUM(D8:D10)</f>
        <v>444.40755000000001</v>
      </c>
      <c r="G24" s="414">
        <f>400+SUM(E8:E10)</f>
        <v>547.97948999999994</v>
      </c>
      <c r="H24" s="190"/>
      <c r="I24" s="190"/>
      <c r="J24" s="190"/>
      <c r="K24" s="190"/>
      <c r="L24" s="190"/>
      <c r="M24" s="190"/>
      <c r="N24" s="190"/>
      <c r="O24" s="190"/>
      <c r="P24" s="190"/>
    </row>
    <row r="25" spans="1:16" ht="15.6" thickBot="1">
      <c r="A25" s="190" t="s">
        <v>299</v>
      </c>
      <c r="B25" s="337">
        <f>B24</f>
        <v>47.244999999999997</v>
      </c>
      <c r="C25" s="338">
        <f>C19+D11</f>
        <v>488.1</v>
      </c>
      <c r="D25" s="339">
        <f>D19+B11</f>
        <v>256.60000000000002</v>
      </c>
      <c r="E25" s="339">
        <f>E19+C11</f>
        <v>337.3</v>
      </c>
      <c r="F25" s="339">
        <f>F19+D11</f>
        <v>488.1</v>
      </c>
      <c r="G25" s="414">
        <f>400+E11</f>
        <v>622.29999999999995</v>
      </c>
      <c r="H25" s="190"/>
      <c r="I25" s="190"/>
      <c r="J25" s="190"/>
      <c r="K25" s="190"/>
      <c r="L25" s="190"/>
      <c r="M25" s="190"/>
      <c r="N25" s="190"/>
      <c r="O25" s="190"/>
      <c r="P25" s="190"/>
    </row>
    <row r="26" spans="1:16">
      <c r="A26" s="190"/>
      <c r="B26" s="325" t="s">
        <v>300</v>
      </c>
      <c r="D26" s="190"/>
      <c r="E26" s="190"/>
      <c r="F26" s="190"/>
      <c r="G26" s="190"/>
      <c r="H26" s="190"/>
      <c r="I26" s="190"/>
      <c r="J26" s="190"/>
      <c r="K26" s="190"/>
      <c r="L26" s="190"/>
      <c r="M26" s="190"/>
      <c r="N26" s="190"/>
      <c r="O26" s="190"/>
      <c r="P26" s="190"/>
    </row>
    <row r="27" spans="1:16">
      <c r="A27" s="190"/>
      <c r="B27" s="190"/>
      <c r="C27" s="190"/>
      <c r="D27" s="190"/>
      <c r="E27" s="190"/>
      <c r="F27" s="190"/>
      <c r="G27" s="190"/>
      <c r="H27" s="190"/>
      <c r="I27" s="190"/>
      <c r="J27" s="190"/>
      <c r="K27" s="190"/>
      <c r="L27" s="190"/>
      <c r="M27" s="190"/>
      <c r="N27" s="190"/>
      <c r="O27" s="190"/>
      <c r="P27" s="190"/>
    </row>
    <row r="28" spans="1:16" s="111" customFormat="1" ht="16.899999999999999">
      <c r="A28" s="113" t="s">
        <v>188</v>
      </c>
      <c r="B28" s="113"/>
      <c r="C28" s="112"/>
      <c r="D28" s="112"/>
      <c r="E28" s="112"/>
      <c r="F28" s="112"/>
      <c r="G28" s="112"/>
      <c r="H28" s="112"/>
      <c r="I28" s="112"/>
    </row>
    <row r="29" spans="1:16">
      <c r="B29" s="14"/>
      <c r="C29" s="14"/>
      <c r="D29" s="14"/>
      <c r="E29" s="14"/>
      <c r="F29" s="14"/>
      <c r="G29" s="14"/>
      <c r="H29" s="14"/>
      <c r="I29" s="14"/>
      <c r="J29" s="14"/>
      <c r="K29" s="14"/>
      <c r="L29" s="14"/>
      <c r="M29" s="190"/>
      <c r="N29" s="190"/>
      <c r="O29" s="190"/>
      <c r="P29" s="190"/>
    </row>
    <row r="30" spans="1:16" ht="16.899999999999999">
      <c r="A30" s="100" t="s">
        <v>301</v>
      </c>
      <c r="C30" s="14"/>
      <c r="D30" s="14"/>
      <c r="E30" s="14"/>
      <c r="F30" s="14"/>
      <c r="G30" s="14"/>
      <c r="H30" s="14"/>
      <c r="I30" s="14"/>
      <c r="J30" s="14"/>
      <c r="K30" s="14"/>
      <c r="L30" s="14"/>
      <c r="M30" s="190"/>
      <c r="N30" s="190"/>
      <c r="O30" s="190"/>
      <c r="P30" s="190"/>
    </row>
    <row r="31" spans="1:16">
      <c r="B31" s="14"/>
      <c r="C31" s="14"/>
      <c r="D31" s="14"/>
      <c r="E31" s="14"/>
      <c r="F31" s="14"/>
      <c r="G31" s="14"/>
      <c r="H31" s="14"/>
      <c r="I31" s="14"/>
      <c r="J31" s="14"/>
      <c r="K31" s="14"/>
      <c r="L31" s="14"/>
      <c r="M31" s="190"/>
      <c r="N31" s="190"/>
      <c r="O31" s="190"/>
      <c r="P31" s="190"/>
    </row>
    <row r="32" spans="1:16" ht="16.899999999999999">
      <c r="B32" s="198">
        <v>2030</v>
      </c>
      <c r="C32" s="548">
        <v>2040</v>
      </c>
      <c r="D32" s="548"/>
      <c r="E32" s="548"/>
      <c r="F32" s="548"/>
      <c r="G32" s="548">
        <v>2050</v>
      </c>
      <c r="H32" s="548"/>
      <c r="I32" s="548"/>
      <c r="J32" s="548"/>
      <c r="K32" s="548"/>
      <c r="L32" s="14"/>
      <c r="M32" s="190"/>
      <c r="N32" s="190"/>
      <c r="O32" s="190"/>
      <c r="P32" s="190"/>
    </row>
    <row r="33" spans="1:16" ht="16.899999999999999">
      <c r="B33" s="198"/>
      <c r="C33" s="198" t="s">
        <v>198</v>
      </c>
      <c r="D33" s="198" t="s">
        <v>199</v>
      </c>
      <c r="E33" s="198" t="s">
        <v>200</v>
      </c>
      <c r="F33" s="198" t="s">
        <v>201</v>
      </c>
      <c r="G33" s="198" t="s">
        <v>198</v>
      </c>
      <c r="H33" s="198" t="s">
        <v>199</v>
      </c>
      <c r="I33" s="198" t="s">
        <v>200</v>
      </c>
      <c r="J33" s="198" t="s">
        <v>201</v>
      </c>
      <c r="K33" s="198"/>
      <c r="L33" s="14"/>
      <c r="M33" s="190"/>
      <c r="N33" s="190"/>
      <c r="O33" s="190"/>
      <c r="P33" s="190"/>
    </row>
    <row r="34" spans="1:16" ht="16.899999999999999">
      <c r="A34" s="100" t="s">
        <v>302</v>
      </c>
      <c r="B34" s="333">
        <v>-4.4081015887100579</v>
      </c>
      <c r="C34" s="333">
        <v>-3.9907208411790136</v>
      </c>
      <c r="D34" s="333">
        <v>-48.822099437739745</v>
      </c>
      <c r="E34" s="333">
        <v>-74.627711961588361</v>
      </c>
      <c r="F34" s="198">
        <v>-27</v>
      </c>
      <c r="G34" s="333">
        <v>-122.7295859460732</v>
      </c>
      <c r="H34" s="333">
        <v>-116.87127575557994</v>
      </c>
      <c r="I34" s="333">
        <v>-114.98584029963288</v>
      </c>
      <c r="J34" s="333">
        <v>-41.621218756442097</v>
      </c>
      <c r="K34" s="333"/>
      <c r="L34" s="14"/>
      <c r="M34" s="190"/>
      <c r="N34" s="190"/>
      <c r="O34" s="190"/>
      <c r="P34" s="190"/>
    </row>
    <row r="35" spans="1:16">
      <c r="A35" t="s">
        <v>303</v>
      </c>
      <c r="B35" s="35">
        <v>-4.4081015887100579</v>
      </c>
      <c r="C35" s="35">
        <v>-3.9907206784331635</v>
      </c>
      <c r="D35" s="35">
        <v>-33.947751602559194</v>
      </c>
      <c r="E35" s="35">
        <v>-32.640354547234672</v>
      </c>
      <c r="F35" s="35">
        <v>-27.046819429908453</v>
      </c>
      <c r="G35" s="35">
        <v>-58.026434569779994</v>
      </c>
      <c r="H35" s="35">
        <v>-59.206392947416717</v>
      </c>
      <c r="I35" s="35">
        <v>-56.218184732698603</v>
      </c>
      <c r="J35" s="35">
        <v>-36.752214326975498</v>
      </c>
      <c r="K35" s="35"/>
      <c r="L35" s="14"/>
      <c r="M35" s="190"/>
      <c r="N35" s="190"/>
      <c r="O35" s="190"/>
      <c r="P35" s="190"/>
    </row>
    <row r="36" spans="1:16">
      <c r="A36" t="s">
        <v>304</v>
      </c>
      <c r="B36" s="35">
        <v>0</v>
      </c>
      <c r="C36" s="35">
        <v>-1.6274584989990078E-7</v>
      </c>
      <c r="D36" s="35">
        <v>-14.874347835180554</v>
      </c>
      <c r="E36" s="35">
        <v>-41.987357414353681</v>
      </c>
      <c r="F36" s="35">
        <v>0</v>
      </c>
      <c r="G36" s="35">
        <v>-58.768523841976965</v>
      </c>
      <c r="H36" s="35">
        <v>-51.730255618971398</v>
      </c>
      <c r="I36" s="35">
        <v>-53.173729289461392</v>
      </c>
      <c r="J36" s="35">
        <v>0</v>
      </c>
      <c r="K36" s="35"/>
      <c r="L36" s="14"/>
      <c r="M36" s="190"/>
      <c r="N36" s="190"/>
      <c r="O36" s="190"/>
      <c r="P36" s="190"/>
    </row>
    <row r="37" spans="1:16">
      <c r="A37" t="s">
        <v>305</v>
      </c>
      <c r="B37" s="35">
        <v>0</v>
      </c>
      <c r="C37" s="35">
        <v>0</v>
      </c>
      <c r="D37" s="35">
        <v>0</v>
      </c>
      <c r="E37" s="35">
        <v>0</v>
      </c>
      <c r="F37" s="35">
        <v>0</v>
      </c>
      <c r="G37" s="35">
        <v>-4.4555701648169741</v>
      </c>
      <c r="H37" s="35">
        <v>-4.4787443733497918</v>
      </c>
      <c r="I37" s="21">
        <v>-4.1650087871347976</v>
      </c>
      <c r="J37" s="35">
        <v>-3.0814350693123553</v>
      </c>
      <c r="K37" s="35"/>
      <c r="L37" s="14"/>
      <c r="M37" s="190"/>
      <c r="N37" s="190"/>
      <c r="O37" s="190"/>
      <c r="P37" s="190"/>
    </row>
    <row r="38" spans="1:16">
      <c r="A38" t="s">
        <v>306</v>
      </c>
      <c r="B38" s="35">
        <v>0</v>
      </c>
      <c r="C38" s="35">
        <v>0</v>
      </c>
      <c r="D38" s="35">
        <v>0</v>
      </c>
      <c r="E38" s="35">
        <v>0</v>
      </c>
      <c r="F38" s="35">
        <v>0</v>
      </c>
      <c r="G38" s="35">
        <v>-1.4790573694992695</v>
      </c>
      <c r="H38" s="35">
        <v>-1.4558828158420321</v>
      </c>
      <c r="I38" s="21">
        <v>-1.4289174903380857</v>
      </c>
      <c r="J38" s="35">
        <v>-1.7875693601542419</v>
      </c>
      <c r="K38" s="35"/>
      <c r="L38" s="14"/>
      <c r="M38" s="190"/>
      <c r="N38" s="190"/>
      <c r="O38" s="190"/>
      <c r="P38" s="190"/>
    </row>
    <row r="39" spans="1:16">
      <c r="B39" s="14"/>
      <c r="C39" s="14"/>
      <c r="D39" s="14"/>
      <c r="E39" s="14"/>
      <c r="F39" s="14"/>
      <c r="G39" s="14"/>
      <c r="H39" s="14"/>
      <c r="I39" s="14"/>
      <c r="J39" s="14"/>
      <c r="K39" s="14"/>
      <c r="L39" s="14"/>
      <c r="M39" s="190"/>
      <c r="N39" s="190"/>
      <c r="O39" s="190"/>
      <c r="P39" s="190"/>
    </row>
    <row r="40" spans="1:16" ht="16.899999999999999">
      <c r="A40" s="100" t="s">
        <v>307</v>
      </c>
      <c r="C40" s="14"/>
      <c r="D40" s="14"/>
      <c r="E40" s="14"/>
      <c r="F40" s="14"/>
      <c r="G40" s="14"/>
      <c r="H40" s="14"/>
      <c r="I40" s="14"/>
      <c r="J40" s="14"/>
      <c r="K40" s="14"/>
      <c r="L40" s="14"/>
      <c r="M40" s="190"/>
      <c r="N40" s="190"/>
      <c r="O40" s="190"/>
      <c r="P40" s="190"/>
    </row>
    <row r="41" spans="1:16">
      <c r="C41" s="14"/>
      <c r="D41" s="14"/>
      <c r="E41" s="14"/>
      <c r="F41" s="14"/>
      <c r="G41" s="14"/>
      <c r="H41" s="14"/>
      <c r="I41" s="14"/>
      <c r="J41" s="14"/>
      <c r="K41" s="14"/>
      <c r="L41" s="14"/>
      <c r="M41" s="190"/>
      <c r="N41" s="190"/>
      <c r="O41" s="190"/>
      <c r="P41" s="190"/>
    </row>
    <row r="42" spans="1:16" ht="16.899999999999999">
      <c r="B42" s="198">
        <v>2030</v>
      </c>
      <c r="C42" s="548">
        <v>2040</v>
      </c>
      <c r="D42" s="548"/>
      <c r="E42" s="548"/>
      <c r="F42" s="548"/>
      <c r="G42" s="548">
        <v>2050</v>
      </c>
      <c r="H42" s="548"/>
      <c r="I42" s="548"/>
      <c r="J42" s="548"/>
      <c r="K42" s="14"/>
      <c r="L42" s="14"/>
      <c r="M42" s="190"/>
      <c r="N42" s="190"/>
      <c r="O42" s="190"/>
      <c r="P42" s="190"/>
    </row>
    <row r="43" spans="1:16" ht="16.899999999999999">
      <c r="B43" s="198"/>
      <c r="C43" s="198" t="s">
        <v>198</v>
      </c>
      <c r="D43" s="198" t="s">
        <v>199</v>
      </c>
      <c r="E43" s="198" t="s">
        <v>200</v>
      </c>
      <c r="F43" s="198" t="s">
        <v>201</v>
      </c>
      <c r="G43" s="198" t="s">
        <v>198</v>
      </c>
      <c r="H43" s="198" t="s">
        <v>199</v>
      </c>
      <c r="I43" s="198" t="s">
        <v>200</v>
      </c>
      <c r="J43" s="198" t="s">
        <v>201</v>
      </c>
      <c r="K43" s="14"/>
      <c r="L43" s="14"/>
      <c r="M43" s="190"/>
      <c r="N43" s="190"/>
      <c r="O43" s="190"/>
      <c r="P43" s="190"/>
    </row>
    <row r="44" spans="1:16" ht="16.899999999999999">
      <c r="A44" s="100" t="s">
        <v>308</v>
      </c>
      <c r="B44" s="333">
        <v>50.108659367946871</v>
      </c>
      <c r="C44" s="333">
        <v>85.674935453563222</v>
      </c>
      <c r="D44" s="333">
        <v>222.13909563027502</v>
      </c>
      <c r="E44" s="333">
        <v>343.71473100884288</v>
      </c>
      <c r="F44" s="333">
        <v>277.77004219299062</v>
      </c>
      <c r="G44" s="333">
        <v>469.4110066155431</v>
      </c>
      <c r="H44" s="333">
        <v>459.1698719401233</v>
      </c>
      <c r="I44" s="333">
        <v>452.29860496242009</v>
      </c>
      <c r="J44" s="333">
        <v>347.55163595013835</v>
      </c>
      <c r="K44" s="14"/>
      <c r="L44" s="14"/>
      <c r="M44" s="244"/>
      <c r="N44" s="190"/>
      <c r="O44" s="190"/>
      <c r="P44" s="190"/>
    </row>
    <row r="45" spans="1:16">
      <c r="A45" t="s">
        <v>309</v>
      </c>
      <c r="B45" s="35">
        <v>4.384320616210128</v>
      </c>
      <c r="C45" s="35">
        <v>25.975065841875907</v>
      </c>
      <c r="D45" s="35">
        <v>41.25731393790894</v>
      </c>
      <c r="E45" s="35">
        <v>31.585628560740897</v>
      </c>
      <c r="F45" s="35">
        <v>46.180262578265825</v>
      </c>
      <c r="G45" s="35">
        <v>57.950782819216116</v>
      </c>
      <c r="H45" s="35">
        <v>63.404443940799922</v>
      </c>
      <c r="I45" s="35">
        <v>54.518639020046962</v>
      </c>
      <c r="J45" s="35">
        <v>64.258844683208324</v>
      </c>
      <c r="K45" s="14"/>
      <c r="L45" s="14"/>
      <c r="M45" s="190"/>
      <c r="N45" s="190"/>
      <c r="O45" s="190"/>
      <c r="P45" s="190"/>
    </row>
    <row r="46" spans="1:16">
      <c r="A46" t="s">
        <v>310</v>
      </c>
      <c r="B46" s="35">
        <v>41.226393596001351</v>
      </c>
      <c r="C46" s="35">
        <v>36.985466182069622</v>
      </c>
      <c r="D46" s="35">
        <v>123.11240010766075</v>
      </c>
      <c r="E46" s="35">
        <v>136.72326939966678</v>
      </c>
      <c r="F46" s="35">
        <v>124.40790859586646</v>
      </c>
      <c r="G46" s="35">
        <v>123.55197736637463</v>
      </c>
      <c r="H46" s="35">
        <v>123.54946760968885</v>
      </c>
      <c r="I46" s="35">
        <v>136.04858392076309</v>
      </c>
      <c r="J46" s="35">
        <v>108.60946180996646</v>
      </c>
      <c r="K46" s="14"/>
      <c r="L46" s="14"/>
      <c r="M46" s="190"/>
      <c r="N46" s="190"/>
      <c r="O46" s="190"/>
      <c r="P46" s="190"/>
    </row>
    <row r="47" spans="1:16">
      <c r="A47" t="s">
        <v>311</v>
      </c>
      <c r="B47" s="35">
        <v>1.3500311979441904E-15</v>
      </c>
      <c r="C47" s="35">
        <v>11.575462604017453</v>
      </c>
      <c r="D47" s="35">
        <v>20.277021539628837</v>
      </c>
      <c r="E47" s="35">
        <v>120.48930453709731</v>
      </c>
      <c r="F47" s="35">
        <v>58.912717658638286</v>
      </c>
      <c r="G47" s="35">
        <v>196.08192599638548</v>
      </c>
      <c r="H47" s="35">
        <v>181.11058839940756</v>
      </c>
      <c r="I47" s="35">
        <v>175.3307299097481</v>
      </c>
      <c r="J47" s="35">
        <v>106.40421501323138</v>
      </c>
      <c r="K47" s="14"/>
      <c r="L47" s="14"/>
      <c r="M47" s="190"/>
      <c r="N47" s="190"/>
      <c r="O47" s="190"/>
      <c r="P47" s="190"/>
    </row>
    <row r="48" spans="1:16">
      <c r="A48" t="s">
        <v>312</v>
      </c>
      <c r="B48" s="35">
        <v>8.9843567025335164E-2</v>
      </c>
      <c r="C48" s="35">
        <v>7.1482201471670708</v>
      </c>
      <c r="D48" s="35">
        <v>3.5446084425172812</v>
      </c>
      <c r="E48" s="35">
        <v>22.276173964103201</v>
      </c>
      <c r="F48" s="35">
        <v>21.222333930311564</v>
      </c>
      <c r="G48" s="35">
        <v>33.799885863786862</v>
      </c>
      <c r="H48" s="35">
        <v>31.898979042810254</v>
      </c>
      <c r="I48" s="35">
        <v>30.182467379163253</v>
      </c>
      <c r="J48" s="35">
        <v>31.526900116756682</v>
      </c>
      <c r="K48" s="14"/>
      <c r="L48" s="14"/>
      <c r="M48" s="190"/>
      <c r="N48" s="190"/>
      <c r="O48" s="190"/>
      <c r="P48" s="190"/>
    </row>
    <row r="49" spans="1:16">
      <c r="A49" t="s">
        <v>303</v>
      </c>
      <c r="B49" s="35">
        <v>4.4081015887100579</v>
      </c>
      <c r="C49" s="35">
        <v>3.9907206784331635</v>
      </c>
      <c r="D49" s="35">
        <v>33.947751602559194</v>
      </c>
      <c r="E49" s="35">
        <v>32.640354547234672</v>
      </c>
      <c r="F49" s="35">
        <v>27.046819429908453</v>
      </c>
      <c r="G49" s="35">
        <v>58.026434569779994</v>
      </c>
      <c r="H49" s="35">
        <v>59.206392947416717</v>
      </c>
      <c r="I49" s="35">
        <v>56.218184732698603</v>
      </c>
      <c r="J49" s="35">
        <v>36.752214326975498</v>
      </c>
      <c r="K49" s="14"/>
      <c r="L49" s="14"/>
      <c r="M49" s="190"/>
      <c r="N49" s="190"/>
      <c r="O49" s="190"/>
      <c r="P49" s="190"/>
    </row>
    <row r="50" spans="1:16">
      <c r="B50" s="14"/>
      <c r="C50" s="14"/>
      <c r="D50" s="14"/>
      <c r="E50" s="14"/>
      <c r="F50" s="14"/>
      <c r="G50" s="14"/>
      <c r="H50" s="14"/>
      <c r="I50" s="14"/>
      <c r="J50" s="14"/>
      <c r="K50" s="14"/>
      <c r="L50" s="14"/>
      <c r="M50" s="190"/>
      <c r="N50" s="190"/>
      <c r="O50" s="190"/>
      <c r="P50" s="190"/>
    </row>
    <row r="51" spans="1:16" ht="16.899999999999999">
      <c r="A51" s="100" t="s">
        <v>313</v>
      </c>
      <c r="P51" s="190"/>
    </row>
    <row r="52" spans="1:16">
      <c r="P52" s="190"/>
    </row>
    <row r="53" spans="1:16" ht="16.899999999999999">
      <c r="B53" s="198">
        <v>2030</v>
      </c>
      <c r="C53" s="548">
        <v>2040</v>
      </c>
      <c r="D53" s="548"/>
      <c r="E53" s="548"/>
      <c r="F53" s="548"/>
      <c r="G53" s="548"/>
      <c r="H53" s="548">
        <v>2050</v>
      </c>
      <c r="I53" s="548"/>
      <c r="J53" s="548"/>
      <c r="K53" s="548"/>
      <c r="L53" s="548"/>
      <c r="M53" s="190"/>
      <c r="N53" s="190"/>
      <c r="O53" s="190"/>
      <c r="P53" s="190"/>
    </row>
    <row r="54" spans="1:16" ht="16.899999999999999">
      <c r="B54" s="198"/>
      <c r="C54" s="198" t="s">
        <v>198</v>
      </c>
      <c r="D54" s="198" t="s">
        <v>199</v>
      </c>
      <c r="E54" s="198" t="s">
        <v>200</v>
      </c>
      <c r="F54" s="198" t="s">
        <v>201</v>
      </c>
      <c r="G54" s="198"/>
      <c r="H54" s="198" t="s">
        <v>198</v>
      </c>
      <c r="I54" s="198" t="s">
        <v>199</v>
      </c>
      <c r="J54" s="198" t="s">
        <v>200</v>
      </c>
      <c r="K54" s="198" t="s">
        <v>201</v>
      </c>
      <c r="L54" s="198"/>
      <c r="M54" s="244" t="s">
        <v>314</v>
      </c>
      <c r="N54" s="190"/>
      <c r="O54" s="190"/>
      <c r="P54" s="190"/>
    </row>
    <row r="55" spans="1:16" ht="16.899999999999999">
      <c r="A55" s="334" t="s">
        <v>315</v>
      </c>
      <c r="B55" s="326">
        <v>44.254570643577573</v>
      </c>
      <c r="C55" s="35">
        <v>42.271812876817251</v>
      </c>
      <c r="D55" s="35">
        <v>146.82122156369314</v>
      </c>
      <c r="E55" s="326">
        <v>242.93660992199602</v>
      </c>
      <c r="F55" s="35">
        <v>198</v>
      </c>
      <c r="G55" s="35"/>
      <c r="H55" s="35">
        <v>246.22634007447536</v>
      </c>
      <c r="I55" s="35">
        <v>245.77405252768855</v>
      </c>
      <c r="J55" s="326">
        <v>246.83536594863119</v>
      </c>
      <c r="K55" s="35">
        <v>164.50989682550593</v>
      </c>
      <c r="L55" s="35"/>
      <c r="M55" s="325" t="s">
        <v>121</v>
      </c>
      <c r="N55" s="190"/>
      <c r="O55" s="190"/>
    </row>
    <row r="56" spans="1:16" ht="16.899999999999999">
      <c r="A56" s="199" t="s">
        <v>316</v>
      </c>
      <c r="B56" s="35">
        <v>5.8540890681024669</v>
      </c>
      <c r="C56" s="35">
        <v>43.403122554972867</v>
      </c>
      <c r="D56" s="35">
        <v>75.317876515960293</v>
      </c>
      <c r="E56" s="326">
        <v>100.77812108703191</v>
      </c>
      <c r="F56" s="35">
        <v>80</v>
      </c>
      <c r="G56" s="35"/>
      <c r="H56" s="35">
        <v>165.17866450283017</v>
      </c>
      <c r="I56" s="35">
        <v>155.34468419679541</v>
      </c>
      <c r="J56" s="326">
        <v>146.74554615449003</v>
      </c>
      <c r="K56" s="35">
        <v>133.06211462722106</v>
      </c>
      <c r="L56" s="35"/>
      <c r="M56" s="325" t="s">
        <v>317</v>
      </c>
      <c r="N56" s="190"/>
      <c r="O56" s="190"/>
    </row>
    <row r="57" spans="1:16" ht="16.899999999999999">
      <c r="A57" s="199" t="s">
        <v>318</v>
      </c>
      <c r="B57" s="35">
        <v>0</v>
      </c>
      <c r="C57" s="35">
        <v>0</v>
      </c>
      <c r="D57" s="35">
        <v>0</v>
      </c>
      <c r="E57" s="326">
        <v>0</v>
      </c>
      <c r="F57" s="35">
        <v>0</v>
      </c>
      <c r="G57" s="35"/>
      <c r="H57" s="35">
        <v>58.0060060571886</v>
      </c>
      <c r="I57" s="35">
        <v>58.051134778380096</v>
      </c>
      <c r="J57" s="326">
        <v>58.717697291811731</v>
      </c>
      <c r="K57" s="35">
        <v>49.979628424110913</v>
      </c>
      <c r="L57" s="35"/>
      <c r="M57" s="325" t="s">
        <v>319</v>
      </c>
      <c r="N57" s="190"/>
      <c r="O57" s="190"/>
    </row>
    <row r="58" spans="1:16" ht="16.899999999999999">
      <c r="A58" s="199" t="s">
        <v>320</v>
      </c>
      <c r="B58" s="200">
        <f>SUM(B55:B57)</f>
        <v>50.108659711680041</v>
      </c>
      <c r="C58" s="200">
        <f t="shared" ref="C58:K58" si="0">SUM(C55:C57)</f>
        <v>85.674935431790118</v>
      </c>
      <c r="D58" s="200">
        <f t="shared" si="0"/>
        <v>222.13909807965342</v>
      </c>
      <c r="E58" s="332">
        <f t="shared" si="0"/>
        <v>343.7147310090279</v>
      </c>
      <c r="F58" s="200">
        <f t="shared" si="0"/>
        <v>278</v>
      </c>
      <c r="G58" s="200">
        <f t="shared" si="0"/>
        <v>0</v>
      </c>
      <c r="H58" s="200">
        <f t="shared" si="0"/>
        <v>469.41101063449412</v>
      </c>
      <c r="I58" s="200">
        <f t="shared" si="0"/>
        <v>459.16987150286405</v>
      </c>
      <c r="J58" s="332">
        <f t="shared" si="0"/>
        <v>452.29860939493301</v>
      </c>
      <c r="K58" s="200">
        <f t="shared" si="0"/>
        <v>347.5516398768379</v>
      </c>
      <c r="L58" s="14"/>
      <c r="M58" s="325" t="s">
        <v>321</v>
      </c>
      <c r="N58" s="190"/>
      <c r="O58" s="190"/>
    </row>
    <row r="59" spans="1:16" ht="16.899999999999999">
      <c r="A59" s="14"/>
      <c r="B59" s="14"/>
      <c r="C59" s="14"/>
      <c r="D59" s="14"/>
      <c r="E59" s="14"/>
      <c r="F59" s="14"/>
      <c r="G59" s="14"/>
      <c r="H59" s="14"/>
      <c r="I59" s="14"/>
      <c r="J59" s="333"/>
      <c r="K59" s="14"/>
    </row>
    <row r="60" spans="1:16">
      <c r="A60" t="s">
        <v>204</v>
      </c>
      <c r="B60" s="14"/>
      <c r="C60" s="14"/>
      <c r="D60" s="14"/>
      <c r="E60" s="14"/>
      <c r="F60" s="14"/>
      <c r="G60" s="14"/>
      <c r="H60" s="14"/>
      <c r="I60" s="14"/>
      <c r="J60" s="35"/>
      <c r="K60" s="14"/>
    </row>
    <row r="61" spans="1:16">
      <c r="B61" s="14"/>
      <c r="C61" s="14"/>
      <c r="D61" s="14"/>
      <c r="E61" s="14"/>
      <c r="F61" s="14"/>
      <c r="G61" s="14"/>
      <c r="H61" s="14"/>
      <c r="I61" s="14"/>
      <c r="J61" s="14"/>
      <c r="K61" s="14"/>
      <c r="L61" s="14"/>
    </row>
    <row r="62" spans="1:16">
      <c r="B62" s="14"/>
      <c r="C62" s="14"/>
      <c r="D62" s="14"/>
      <c r="E62" s="14"/>
      <c r="F62" s="14"/>
      <c r="G62" s="14"/>
      <c r="H62" s="14"/>
      <c r="I62" s="14"/>
      <c r="J62" s="14"/>
      <c r="K62" s="14"/>
      <c r="L62" s="14"/>
    </row>
    <row r="63" spans="1:16" s="111" customFormat="1" ht="16.899999999999999">
      <c r="A63" s="113" t="s">
        <v>322</v>
      </c>
      <c r="B63" s="113"/>
      <c r="C63" s="112"/>
      <c r="D63" s="112"/>
      <c r="E63" s="112"/>
      <c r="F63" s="112"/>
      <c r="G63" s="112"/>
      <c r="H63" s="112"/>
      <c r="I63" s="112"/>
    </row>
    <row r="64" spans="1:16">
      <c r="B64" s="14"/>
      <c r="C64" s="14"/>
      <c r="D64" s="14"/>
      <c r="E64" s="14"/>
      <c r="F64" s="14"/>
      <c r="G64" s="14"/>
      <c r="H64" s="14"/>
      <c r="I64" s="14"/>
      <c r="J64" s="14"/>
      <c r="K64" s="14"/>
      <c r="L64" s="14"/>
    </row>
    <row r="65" spans="1:12" ht="90">
      <c r="C65" s="415" t="s">
        <v>323</v>
      </c>
      <c r="D65" s="415" t="s">
        <v>324</v>
      </c>
      <c r="E65" s="415" t="s">
        <v>325</v>
      </c>
      <c r="F65" s="416" t="s">
        <v>326</v>
      </c>
      <c r="G65" s="417" t="s">
        <v>327</v>
      </c>
      <c r="H65" s="417" t="s">
        <v>328</v>
      </c>
      <c r="I65" s="14"/>
      <c r="J65" s="14"/>
      <c r="K65" s="14"/>
      <c r="L65" s="14"/>
    </row>
    <row r="66" spans="1:12">
      <c r="A66">
        <v>2040</v>
      </c>
      <c r="B66" t="s">
        <v>103</v>
      </c>
      <c r="C66" s="14"/>
      <c r="D66" s="14"/>
      <c r="E66" s="14"/>
      <c r="F66" s="35">
        <f>'Carbon capture'!F19</f>
        <v>344</v>
      </c>
      <c r="G66" s="35">
        <f>'Carbon capture'!D13</f>
        <v>100.40755</v>
      </c>
      <c r="H66" s="141">
        <f>'Carbon capture'!D11-'Carbon capture'!D13</f>
        <v>43.692449999999994</v>
      </c>
      <c r="I66" s="14"/>
      <c r="J66" s="14"/>
      <c r="K66" s="14"/>
      <c r="L66" s="14"/>
    </row>
    <row r="67" spans="1:12">
      <c r="B67" t="s">
        <v>111</v>
      </c>
      <c r="C67" s="14"/>
      <c r="D67" s="14"/>
      <c r="E67" s="14"/>
      <c r="F67" s="35">
        <f>'Carbon capture'!C19</f>
        <v>344</v>
      </c>
      <c r="G67" s="35">
        <f>G66</f>
        <v>100.40755</v>
      </c>
      <c r="H67" s="141">
        <f>H66</f>
        <v>43.692449999999994</v>
      </c>
      <c r="I67" s="14"/>
      <c r="J67" s="14"/>
      <c r="K67" s="14"/>
      <c r="L67" s="14"/>
    </row>
    <row r="68" spans="1:12">
      <c r="B68" t="s">
        <v>329</v>
      </c>
      <c r="C68" s="35">
        <f>'Carbon capture'!E55</f>
        <v>242.93660992199602</v>
      </c>
      <c r="D68" s="35">
        <f>'Carbon capture'!E57</f>
        <v>0</v>
      </c>
      <c r="E68" s="35">
        <f>'Carbon capture'!E56</f>
        <v>100.77812108703191</v>
      </c>
      <c r="F68" s="14"/>
      <c r="G68" s="14"/>
      <c r="I68" s="14"/>
      <c r="J68" s="14"/>
      <c r="K68" s="14"/>
      <c r="L68" s="14"/>
    </row>
    <row r="69" spans="1:12">
      <c r="A69">
        <v>2050</v>
      </c>
      <c r="B69" t="s">
        <v>103</v>
      </c>
      <c r="C69" s="14"/>
      <c r="D69" s="14"/>
      <c r="E69" s="14"/>
      <c r="F69" s="35">
        <f>'Carbon capture'!G19</f>
        <v>452</v>
      </c>
      <c r="G69" s="35">
        <f>'Carbon capture'!E13</f>
        <v>147.97949</v>
      </c>
      <c r="H69" s="141">
        <f>'Carbon capture'!E11-'Carbon capture'!E13</f>
        <v>74.320510000000013</v>
      </c>
      <c r="I69" s="14"/>
      <c r="J69" s="14"/>
      <c r="K69" s="14"/>
      <c r="L69" s="14"/>
    </row>
    <row r="70" spans="1:12">
      <c r="B70" t="s">
        <v>329</v>
      </c>
      <c r="C70" s="35">
        <f>'Carbon capture'!J55</f>
        <v>246.83536594863119</v>
      </c>
      <c r="D70" s="35">
        <f>'Carbon capture'!J57</f>
        <v>58.717697291811731</v>
      </c>
      <c r="E70" s="35">
        <f>'Carbon capture'!J56</f>
        <v>146.74554615449003</v>
      </c>
      <c r="F70" s="14"/>
      <c r="G70" s="14"/>
      <c r="I70" s="14"/>
      <c r="J70" s="14"/>
      <c r="K70" s="14"/>
      <c r="L70" s="14"/>
    </row>
    <row r="71" spans="1:12">
      <c r="B71" s="14"/>
      <c r="C71" s="14"/>
      <c r="D71" s="14"/>
      <c r="E71" s="14"/>
      <c r="F71" s="14"/>
      <c r="G71" s="14"/>
      <c r="H71" s="14"/>
      <c r="I71" s="14"/>
      <c r="J71" s="14"/>
      <c r="K71" s="14"/>
      <c r="L71" s="14"/>
    </row>
  </sheetData>
  <mergeCells count="12">
    <mergeCell ref="C53:G53"/>
    <mergeCell ref="H53:L53"/>
    <mergeCell ref="B17:C17"/>
    <mergeCell ref="D17:E17"/>
    <mergeCell ref="F17:G17"/>
    <mergeCell ref="C42:F42"/>
    <mergeCell ref="G42:J42"/>
    <mergeCell ref="C32:F32"/>
    <mergeCell ref="G32:K32"/>
    <mergeCell ref="B22:C22"/>
    <mergeCell ref="D22:E22"/>
    <mergeCell ref="F22:G2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D520-1A1B-4D55-BB1C-52F77AAEF8B3}">
  <sheetPr>
    <tabColor theme="7"/>
  </sheetPr>
  <dimension ref="A1:Z81"/>
  <sheetViews>
    <sheetView topLeftCell="A14" zoomScale="73" zoomScaleNormal="73" workbookViewId="0">
      <selection sqref="A1:XFD1"/>
    </sheetView>
  </sheetViews>
  <sheetFormatPr defaultColWidth="11.42578125" defaultRowHeight="16.899999999999999"/>
  <cols>
    <col min="1" max="1" width="23.7109375" style="22" customWidth="1"/>
    <col min="2" max="2" width="16.7109375" style="22" customWidth="1"/>
    <col min="3" max="15" width="9.28515625" style="22" customWidth="1"/>
    <col min="16" max="17" width="10" style="22" bestFit="1" customWidth="1"/>
    <col min="18" max="18" width="9.28515625" style="22" customWidth="1"/>
    <col min="19" max="19" width="17" style="22" bestFit="1" customWidth="1"/>
    <col min="20" max="22" width="11.42578125" style="22"/>
    <col min="23" max="23" width="11.7109375" style="22" customWidth="1"/>
    <col min="24" max="16384" width="11.42578125" style="22"/>
  </cols>
  <sheetData>
    <row r="1" spans="1:26" s="309" customFormat="1">
      <c r="A1" s="304" t="s">
        <v>126</v>
      </c>
      <c r="C1" s="310"/>
      <c r="D1" s="310"/>
      <c r="E1" s="310"/>
      <c r="F1" s="310"/>
      <c r="G1" s="310"/>
      <c r="H1" s="310"/>
      <c r="I1" s="310"/>
    </row>
    <row r="3" spans="1:26">
      <c r="A3" s="1" t="s">
        <v>330</v>
      </c>
    </row>
    <row r="5" spans="1:26" ht="67.150000000000006">
      <c r="B5" s="23" t="s">
        <v>331</v>
      </c>
      <c r="C5" s="23" t="s">
        <v>88</v>
      </c>
      <c r="D5" s="23" t="s">
        <v>332</v>
      </c>
      <c r="E5" s="23" t="s">
        <v>333</v>
      </c>
      <c r="F5" s="23" t="s">
        <v>143</v>
      </c>
      <c r="G5" s="23" t="s">
        <v>210</v>
      </c>
      <c r="H5" s="23" t="s">
        <v>334</v>
      </c>
      <c r="I5" s="23" t="s">
        <v>335</v>
      </c>
      <c r="J5" s="23" t="s">
        <v>141</v>
      </c>
      <c r="K5" s="23" t="s">
        <v>82</v>
      </c>
      <c r="L5" s="23" t="s">
        <v>83</v>
      </c>
      <c r="M5" s="23" t="s">
        <v>84</v>
      </c>
      <c r="N5" s="23" t="s">
        <v>85</v>
      </c>
      <c r="O5" s="23" t="s">
        <v>86</v>
      </c>
      <c r="P5" s="23" t="s">
        <v>336</v>
      </c>
      <c r="Q5" s="23" t="s">
        <v>337</v>
      </c>
      <c r="S5" s="23" t="s">
        <v>338</v>
      </c>
      <c r="T5" s="23" t="s">
        <v>339</v>
      </c>
      <c r="U5" s="23" t="s">
        <v>141</v>
      </c>
      <c r="W5" s="340" t="s">
        <v>340</v>
      </c>
      <c r="X5" s="341" t="s">
        <v>341</v>
      </c>
      <c r="Z5" s="243" t="s">
        <v>342</v>
      </c>
    </row>
    <row r="6" spans="1:26">
      <c r="B6" s="526" t="s">
        <v>32</v>
      </c>
      <c r="C6" s="24">
        <v>2030</v>
      </c>
      <c r="D6" s="572">
        <v>366.56</v>
      </c>
      <c r="E6" s="572">
        <v>101</v>
      </c>
      <c r="F6" s="572">
        <v>659.83</v>
      </c>
      <c r="G6" s="572">
        <v>8</v>
      </c>
      <c r="H6" s="572">
        <v>37</v>
      </c>
      <c r="I6" s="572">
        <v>164</v>
      </c>
      <c r="J6" s="572">
        <v>95</v>
      </c>
      <c r="K6" s="572">
        <v>24</v>
      </c>
      <c r="L6" s="572">
        <v>6</v>
      </c>
      <c r="M6" s="572">
        <v>171</v>
      </c>
      <c r="N6" s="572">
        <v>38</v>
      </c>
      <c r="O6" s="572">
        <v>11</v>
      </c>
      <c r="P6" s="572">
        <v>46</v>
      </c>
      <c r="Q6" s="572">
        <v>76</v>
      </c>
      <c r="S6" s="25">
        <f>D6+E6+F6+G6+H6+I6+W15+X15</f>
        <v>1363.5962853372314</v>
      </c>
      <c r="T6" s="25">
        <f>K6+L6+N6+Y15+Z15</f>
        <v>222.79371466276871</v>
      </c>
      <c r="U6" s="25">
        <f t="shared" ref="U6:U11" si="0">J6</f>
        <v>95</v>
      </c>
      <c r="V6" s="26"/>
      <c r="W6" s="342">
        <f>D6+E6+F6+G6+H6+I6</f>
        <v>1336.39</v>
      </c>
      <c r="X6" s="342">
        <f>D6+E6+F6</f>
        <v>1127.3900000000001</v>
      </c>
      <c r="Z6" s="26">
        <f t="shared" ref="Z6:Z11" si="1">M6+L6+K6+N6</f>
        <v>239</v>
      </c>
    </row>
    <row r="7" spans="1:26">
      <c r="B7" s="527"/>
      <c r="C7" s="24">
        <v>2040</v>
      </c>
      <c r="D7" s="572">
        <v>533.23</v>
      </c>
      <c r="E7" s="572">
        <v>269</v>
      </c>
      <c r="F7" s="572">
        <v>1133.8499999999999</v>
      </c>
      <c r="G7" s="572">
        <v>3</v>
      </c>
      <c r="H7" s="572">
        <v>31</v>
      </c>
      <c r="I7" s="572">
        <v>173</v>
      </c>
      <c r="J7" s="572">
        <v>98</v>
      </c>
      <c r="K7" s="572">
        <v>8</v>
      </c>
      <c r="L7" s="572">
        <v>2</v>
      </c>
      <c r="M7" s="572">
        <v>138</v>
      </c>
      <c r="N7" s="572">
        <v>24</v>
      </c>
      <c r="O7" s="572">
        <v>46</v>
      </c>
      <c r="P7" s="572">
        <v>218</v>
      </c>
      <c r="Q7" s="572">
        <v>121</v>
      </c>
      <c r="S7" s="25">
        <f>D7+E7+F7+G7+H7+I7+W16+X16</f>
        <v>2231.2110406011129</v>
      </c>
      <c r="T7" s="25">
        <f>K7+L7+N7+Y16+Z16</f>
        <v>129.86895939888689</v>
      </c>
      <c r="U7" s="25">
        <f t="shared" si="0"/>
        <v>98</v>
      </c>
      <c r="V7" s="26"/>
      <c r="W7" s="342">
        <f t="shared" ref="W7:W11" si="2">D7+E7+F7+G7+H7+I7</f>
        <v>2143.08</v>
      </c>
      <c r="X7" s="342">
        <f>D7+E7+F7</f>
        <v>1936.08</v>
      </c>
      <c r="Z7" s="240">
        <f t="shared" si="1"/>
        <v>172</v>
      </c>
    </row>
    <row r="8" spans="1:26">
      <c r="B8" s="526" t="s">
        <v>35</v>
      </c>
      <c r="C8" s="24">
        <v>2040</v>
      </c>
      <c r="D8" s="27">
        <v>628.03158000000008</v>
      </c>
      <c r="E8" s="27">
        <v>296.51772000000005</v>
      </c>
      <c r="F8" s="27">
        <v>1399.3651699999996</v>
      </c>
      <c r="G8" s="27">
        <v>4</v>
      </c>
      <c r="H8" s="27">
        <v>31</v>
      </c>
      <c r="I8" s="27">
        <v>173</v>
      </c>
      <c r="J8" s="27">
        <v>74</v>
      </c>
      <c r="K8" s="27">
        <v>8</v>
      </c>
      <c r="L8" s="27">
        <v>1</v>
      </c>
      <c r="M8" s="27">
        <v>134</v>
      </c>
      <c r="N8" s="27">
        <v>24</v>
      </c>
      <c r="O8" s="27">
        <v>46</v>
      </c>
      <c r="P8" s="27">
        <v>663</v>
      </c>
      <c r="Q8" s="27">
        <v>50</v>
      </c>
      <c r="S8" s="25">
        <f t="shared" ref="S8" si="3">D8+E8+F8+G8+H8+I8+W17+X17</f>
        <v>2621.2766159240005</v>
      </c>
      <c r="T8" s="25">
        <f t="shared" ref="T8:T11" si="4">K8+L8+N8+Y17+Z17</f>
        <v>123.63785407599914</v>
      </c>
      <c r="U8" s="25">
        <f t="shared" si="0"/>
        <v>74</v>
      </c>
      <c r="V8" s="26"/>
      <c r="W8" s="342">
        <f t="shared" si="2"/>
        <v>2531.9144699999997</v>
      </c>
      <c r="X8" s="342">
        <f t="shared" ref="X8:X11" si="5">D8+E8+F8</f>
        <v>2323.9144699999997</v>
      </c>
      <c r="Z8" s="240">
        <f t="shared" si="1"/>
        <v>167</v>
      </c>
    </row>
    <row r="9" spans="1:26">
      <c r="B9" s="527"/>
      <c r="C9" s="24">
        <v>2050</v>
      </c>
      <c r="D9" s="27">
        <v>807.59624000000008</v>
      </c>
      <c r="E9" s="27">
        <v>391.44138999999996</v>
      </c>
      <c r="F9" s="27">
        <v>2008.0927600000005</v>
      </c>
      <c r="G9" s="27">
        <v>3</v>
      </c>
      <c r="H9" s="27">
        <v>29</v>
      </c>
      <c r="I9" s="27">
        <v>180</v>
      </c>
      <c r="J9" s="27">
        <v>47</v>
      </c>
      <c r="K9" s="27">
        <v>4</v>
      </c>
      <c r="L9" s="27">
        <v>1</v>
      </c>
      <c r="M9" s="27">
        <v>106</v>
      </c>
      <c r="N9" s="27">
        <v>18</v>
      </c>
      <c r="O9" s="27">
        <v>67</v>
      </c>
      <c r="P9" s="27">
        <v>956</v>
      </c>
      <c r="Q9" s="27">
        <v>54</v>
      </c>
      <c r="S9" s="25">
        <f>D9+E9+F9+G9+H9+I9+W18+X18</f>
        <v>3588.9238527915522</v>
      </c>
      <c r="T9" s="25">
        <f t="shared" si="4"/>
        <v>26.154105358461983</v>
      </c>
      <c r="U9" s="25">
        <f t="shared" si="0"/>
        <v>47</v>
      </c>
      <c r="V9" s="26"/>
      <c r="W9" s="342">
        <f t="shared" si="2"/>
        <v>3419.1303900000003</v>
      </c>
      <c r="X9" s="342">
        <f t="shared" si="5"/>
        <v>3207.1303900000003</v>
      </c>
      <c r="Z9" s="240">
        <f t="shared" si="1"/>
        <v>129</v>
      </c>
    </row>
    <row r="10" spans="1:26">
      <c r="B10" s="526" t="s">
        <v>36</v>
      </c>
      <c r="C10" s="24">
        <v>2040</v>
      </c>
      <c r="D10" s="27">
        <v>616.61147999999969</v>
      </c>
      <c r="E10" s="27">
        <v>292.18299999999999</v>
      </c>
      <c r="F10" s="27">
        <v>1262.1024899999993</v>
      </c>
      <c r="G10" s="27">
        <v>4</v>
      </c>
      <c r="H10" s="27">
        <v>31</v>
      </c>
      <c r="I10" s="27">
        <v>173</v>
      </c>
      <c r="J10" s="27">
        <v>115</v>
      </c>
      <c r="K10" s="27">
        <v>8</v>
      </c>
      <c r="L10" s="27">
        <v>1</v>
      </c>
      <c r="M10" s="27">
        <v>134</v>
      </c>
      <c r="N10" s="27">
        <v>24</v>
      </c>
      <c r="O10" s="27">
        <v>46</v>
      </c>
      <c r="P10" s="27">
        <v>663</v>
      </c>
      <c r="Q10" s="27">
        <v>50</v>
      </c>
      <c r="S10" s="25">
        <f>D10+E10+F10+G10+H10+I10+W19+X19</f>
        <v>2471.9003905932382</v>
      </c>
      <c r="T10" s="25">
        <f t="shared" si="4"/>
        <v>119.99657940676067</v>
      </c>
      <c r="U10" s="25">
        <f t="shared" si="0"/>
        <v>115</v>
      </c>
      <c r="V10" s="26"/>
      <c r="W10" s="342">
        <f t="shared" si="2"/>
        <v>2378.8969699999989</v>
      </c>
      <c r="X10" s="342">
        <f t="shared" si="5"/>
        <v>2170.8969699999989</v>
      </c>
      <c r="Z10" s="240">
        <f t="shared" si="1"/>
        <v>167</v>
      </c>
    </row>
    <row r="11" spans="1:26">
      <c r="B11" s="527"/>
      <c r="C11" s="24">
        <v>2050</v>
      </c>
      <c r="D11" s="27">
        <v>804.04424999999992</v>
      </c>
      <c r="E11" s="27">
        <v>407.45706999999993</v>
      </c>
      <c r="F11" s="27">
        <v>1670.1318699999999</v>
      </c>
      <c r="G11" s="27">
        <v>3</v>
      </c>
      <c r="H11" s="27">
        <v>29</v>
      </c>
      <c r="I11" s="27">
        <v>180</v>
      </c>
      <c r="J11" s="27">
        <v>105</v>
      </c>
      <c r="K11" s="27">
        <v>4</v>
      </c>
      <c r="L11" s="27">
        <v>1</v>
      </c>
      <c r="M11" s="27">
        <v>106</v>
      </c>
      <c r="N11" s="27">
        <v>18</v>
      </c>
      <c r="O11" s="27">
        <v>67</v>
      </c>
      <c r="P11" s="27">
        <v>956</v>
      </c>
      <c r="Q11" s="27">
        <v>54</v>
      </c>
      <c r="S11" s="25">
        <f>D11+E11+F11+G11+H11+I11+W20+X20</f>
        <v>3262.3578654273902</v>
      </c>
      <c r="T11" s="25">
        <f t="shared" si="4"/>
        <v>27.288229655170021</v>
      </c>
      <c r="U11" s="25">
        <f t="shared" si="0"/>
        <v>105</v>
      </c>
      <c r="V11" s="26"/>
      <c r="W11" s="342">
        <f t="shared" si="2"/>
        <v>3093.6331899999996</v>
      </c>
      <c r="X11" s="342">
        <f t="shared" si="5"/>
        <v>2881.6331899999996</v>
      </c>
      <c r="Z11" s="240">
        <f t="shared" si="1"/>
        <v>129</v>
      </c>
    </row>
    <row r="12" spans="1:26">
      <c r="D12" s="26"/>
      <c r="E12" s="26"/>
      <c r="F12" s="28"/>
    </row>
    <row r="14" spans="1:26" ht="50.45">
      <c r="S14" s="23" t="s">
        <v>87</v>
      </c>
      <c r="T14" s="23" t="s">
        <v>88</v>
      </c>
      <c r="U14" s="29" t="s">
        <v>89</v>
      </c>
      <c r="V14" s="23" t="s">
        <v>90</v>
      </c>
      <c r="W14" s="29" t="s">
        <v>343</v>
      </c>
      <c r="X14" s="23" t="s">
        <v>344</v>
      </c>
      <c r="Y14" s="29" t="s">
        <v>345</v>
      </c>
      <c r="Z14" s="23" t="s">
        <v>346</v>
      </c>
    </row>
    <row r="15" spans="1:26">
      <c r="S15" s="526" t="s">
        <v>32</v>
      </c>
      <c r="T15" s="24">
        <v>2030</v>
      </c>
      <c r="U15" s="30">
        <v>0.11593038364249689</v>
      </c>
      <c r="V15" s="31">
        <v>0.67110815766948462</v>
      </c>
      <c r="W15" s="26">
        <f>M6*U15</f>
        <v>19.824095602866969</v>
      </c>
      <c r="X15" s="26">
        <f>O6*V15</f>
        <v>7.3821897343643306</v>
      </c>
      <c r="Y15" s="26">
        <f>M6-W15</f>
        <v>151.17590439713302</v>
      </c>
      <c r="Z15" s="26">
        <f>O6-X15</f>
        <v>3.6178102656356694</v>
      </c>
    </row>
    <row r="16" spans="1:26">
      <c r="S16" s="527"/>
      <c r="T16" s="24">
        <v>2040</v>
      </c>
      <c r="U16" s="30">
        <v>0.35912748509495934</v>
      </c>
      <c r="V16" s="31">
        <v>0.83850973169584209</v>
      </c>
      <c r="W16" s="26">
        <f>M7*U16</f>
        <v>49.559592943104391</v>
      </c>
      <c r="X16" s="26">
        <f t="shared" ref="X16:X19" si="6">O7*V16</f>
        <v>38.571447658008736</v>
      </c>
      <c r="Y16" s="26">
        <f t="shared" ref="Y16:Y19" si="7">M7-W16</f>
        <v>88.440407056895609</v>
      </c>
      <c r="Z16" s="26">
        <f t="shared" ref="Z16:Z19" si="8">O7-X16</f>
        <v>7.4285523419912636</v>
      </c>
    </row>
    <row r="17" spans="2:26">
      <c r="S17" s="526" t="s">
        <v>35</v>
      </c>
      <c r="T17" s="24">
        <v>2040</v>
      </c>
      <c r="U17" s="30">
        <v>0.3717721608852142</v>
      </c>
      <c r="V17" s="31">
        <v>0.85966687750830761</v>
      </c>
      <c r="W17" s="26">
        <f t="shared" ref="W17:W20" si="9">M8*U17</f>
        <v>49.817469558618704</v>
      </c>
      <c r="X17" s="26">
        <f t="shared" si="6"/>
        <v>39.544676365382152</v>
      </c>
      <c r="Y17" s="26">
        <f t="shared" si="7"/>
        <v>84.182530441381289</v>
      </c>
      <c r="Z17" s="26">
        <f t="shared" si="8"/>
        <v>6.455323634617848</v>
      </c>
    </row>
    <row r="18" spans="2:26">
      <c r="S18" s="527"/>
      <c r="T18" s="24">
        <v>2050</v>
      </c>
      <c r="U18" s="30">
        <v>0.99950535990579303</v>
      </c>
      <c r="V18" s="31">
        <v>0.9529238006199704</v>
      </c>
      <c r="W18" s="26">
        <f t="shared" si="9"/>
        <v>105.94756815001406</v>
      </c>
      <c r="X18" s="26">
        <f t="shared" si="6"/>
        <v>63.845894641538017</v>
      </c>
      <c r="Y18" s="26">
        <v>0</v>
      </c>
      <c r="Z18" s="26">
        <f t="shared" si="8"/>
        <v>3.1541053584619831</v>
      </c>
    </row>
    <row r="19" spans="2:26">
      <c r="S19" s="526" t="s">
        <v>36</v>
      </c>
      <c r="T19" s="24">
        <v>2040</v>
      </c>
      <c r="U19" s="30">
        <v>0.39803031896690616</v>
      </c>
      <c r="V19" s="31">
        <v>0.86233386634073694</v>
      </c>
      <c r="W19" s="26">
        <f t="shared" si="9"/>
        <v>53.336062741565428</v>
      </c>
      <c r="X19" s="26">
        <f t="shared" si="6"/>
        <v>39.667357851673898</v>
      </c>
      <c r="Y19" s="26">
        <f t="shared" si="7"/>
        <v>80.663937258434572</v>
      </c>
      <c r="Z19" s="26">
        <f t="shared" si="8"/>
        <v>6.3326421483261015</v>
      </c>
    </row>
    <row r="20" spans="2:26">
      <c r="S20" s="527"/>
      <c r="T20" s="24">
        <v>2050</v>
      </c>
      <c r="U20" s="30">
        <v>1.0001217460618939</v>
      </c>
      <c r="V20" s="31">
        <v>0.93599657231089517</v>
      </c>
      <c r="W20" s="26">
        <f t="shared" si="9"/>
        <v>106.01290508256075</v>
      </c>
      <c r="X20" s="26">
        <f>O11*V20</f>
        <v>62.711770344829979</v>
      </c>
      <c r="Y20" s="26">
        <v>0</v>
      </c>
      <c r="Z20" s="26">
        <f>O11-X20</f>
        <v>4.2882296551700207</v>
      </c>
    </row>
    <row r="22" spans="2:26" hidden="1"/>
    <row r="23" spans="2:26" hidden="1"/>
    <row r="24" spans="2:26" ht="67.150000000000006" hidden="1">
      <c r="B24" s="32" t="s">
        <v>331</v>
      </c>
      <c r="C24" s="32" t="s">
        <v>88</v>
      </c>
      <c r="D24" s="32" t="s">
        <v>332</v>
      </c>
      <c r="E24" s="32" t="s">
        <v>333</v>
      </c>
      <c r="F24" s="32" t="s">
        <v>143</v>
      </c>
      <c r="G24" s="32" t="s">
        <v>210</v>
      </c>
      <c r="H24" s="32" t="s">
        <v>334</v>
      </c>
      <c r="I24" s="32" t="s">
        <v>335</v>
      </c>
      <c r="J24" s="32" t="s">
        <v>141</v>
      </c>
      <c r="K24" s="32" t="s">
        <v>82</v>
      </c>
      <c r="L24" s="32" t="s">
        <v>83</v>
      </c>
      <c r="M24" s="32" t="s">
        <v>84</v>
      </c>
      <c r="N24" s="32" t="s">
        <v>85</v>
      </c>
      <c r="O24" s="32" t="s">
        <v>86</v>
      </c>
      <c r="P24" s="32" t="s">
        <v>336</v>
      </c>
      <c r="Q24" s="32" t="s">
        <v>337</v>
      </c>
    </row>
    <row r="25" spans="2:26" hidden="1">
      <c r="B25" s="551" t="s">
        <v>32</v>
      </c>
      <c r="C25" s="33">
        <v>2030</v>
      </c>
      <c r="D25" s="573">
        <v>352</v>
      </c>
      <c r="E25" s="573">
        <v>101</v>
      </c>
      <c r="F25" s="573">
        <v>638</v>
      </c>
      <c r="G25" s="572">
        <v>8</v>
      </c>
      <c r="H25" s="572">
        <v>37</v>
      </c>
      <c r="I25" s="572">
        <v>164</v>
      </c>
      <c r="J25" s="572">
        <v>95</v>
      </c>
      <c r="K25" s="572">
        <v>24</v>
      </c>
      <c r="L25" s="572">
        <v>6</v>
      </c>
      <c r="M25" s="572">
        <v>171</v>
      </c>
      <c r="N25" s="572">
        <v>38</v>
      </c>
      <c r="O25" s="572">
        <v>11</v>
      </c>
      <c r="P25" s="572">
        <v>46</v>
      </c>
      <c r="Q25" s="572">
        <v>76</v>
      </c>
    </row>
    <row r="26" spans="2:26" hidden="1">
      <c r="B26" s="552"/>
      <c r="C26" s="33">
        <v>2040</v>
      </c>
      <c r="D26" s="573">
        <v>496</v>
      </c>
      <c r="E26" s="573">
        <v>269</v>
      </c>
      <c r="F26" s="573">
        <v>1078</v>
      </c>
      <c r="G26" s="572">
        <v>3</v>
      </c>
      <c r="H26" s="572">
        <v>31</v>
      </c>
      <c r="I26" s="572">
        <v>173</v>
      </c>
      <c r="J26" s="572">
        <v>98</v>
      </c>
      <c r="K26" s="572">
        <v>8</v>
      </c>
      <c r="L26" s="572">
        <v>2</v>
      </c>
      <c r="M26" s="572">
        <v>138</v>
      </c>
      <c r="N26" s="572">
        <v>24</v>
      </c>
      <c r="O26" s="572">
        <v>46</v>
      </c>
      <c r="P26" s="572">
        <v>218</v>
      </c>
      <c r="Q26" s="572">
        <v>121</v>
      </c>
    </row>
    <row r="27" spans="2:26" hidden="1">
      <c r="B27" s="551" t="s">
        <v>35</v>
      </c>
      <c r="C27" s="33">
        <v>2040</v>
      </c>
      <c r="D27" s="27">
        <v>639</v>
      </c>
      <c r="E27" s="27">
        <v>190</v>
      </c>
      <c r="F27" s="27">
        <v>1406</v>
      </c>
      <c r="G27" s="27">
        <v>4</v>
      </c>
      <c r="H27" s="27">
        <v>31</v>
      </c>
      <c r="I27" s="27">
        <v>173</v>
      </c>
      <c r="J27" s="27">
        <v>74</v>
      </c>
      <c r="K27" s="27">
        <v>8</v>
      </c>
      <c r="L27" s="27">
        <v>1</v>
      </c>
      <c r="M27" s="27">
        <v>134</v>
      </c>
      <c r="N27" s="27">
        <v>24</v>
      </c>
      <c r="O27" s="27">
        <v>46</v>
      </c>
      <c r="P27" s="27">
        <v>663</v>
      </c>
      <c r="Q27" s="27">
        <v>50</v>
      </c>
    </row>
    <row r="28" spans="2:26" hidden="1">
      <c r="B28" s="552"/>
      <c r="C28" s="33">
        <v>2050</v>
      </c>
      <c r="D28" s="27">
        <v>830</v>
      </c>
      <c r="E28" s="27">
        <v>219</v>
      </c>
      <c r="F28" s="27">
        <v>2035</v>
      </c>
      <c r="G28" s="27">
        <v>3</v>
      </c>
      <c r="H28" s="27">
        <v>29</v>
      </c>
      <c r="I28" s="27">
        <v>180</v>
      </c>
      <c r="J28" s="27">
        <v>47</v>
      </c>
      <c r="K28" s="27">
        <v>4</v>
      </c>
      <c r="L28" s="27">
        <v>1</v>
      </c>
      <c r="M28" s="27">
        <v>106</v>
      </c>
      <c r="N28" s="27">
        <v>18</v>
      </c>
      <c r="O28" s="27">
        <v>67</v>
      </c>
      <c r="P28" s="27">
        <v>956</v>
      </c>
      <c r="Q28" s="27">
        <v>54</v>
      </c>
    </row>
    <row r="29" spans="2:26" hidden="1">
      <c r="B29" s="551" t="s">
        <v>36</v>
      </c>
      <c r="C29" s="33">
        <v>2040</v>
      </c>
      <c r="D29" s="27">
        <v>617</v>
      </c>
      <c r="E29" s="27">
        <v>190</v>
      </c>
      <c r="F29" s="27">
        <v>1262</v>
      </c>
      <c r="G29" s="27">
        <v>4</v>
      </c>
      <c r="H29" s="27">
        <v>31</v>
      </c>
      <c r="I29" s="27">
        <v>173</v>
      </c>
      <c r="J29" s="27">
        <v>115</v>
      </c>
      <c r="K29" s="27">
        <v>8</v>
      </c>
      <c r="L29" s="27">
        <v>1</v>
      </c>
      <c r="M29" s="27">
        <v>134</v>
      </c>
      <c r="N29" s="27">
        <v>24</v>
      </c>
      <c r="O29" s="27">
        <v>46</v>
      </c>
      <c r="P29" s="27">
        <v>663</v>
      </c>
      <c r="Q29" s="27">
        <v>50</v>
      </c>
    </row>
    <row r="30" spans="2:26" hidden="1">
      <c r="B30" s="552"/>
      <c r="C30" s="33">
        <v>2050</v>
      </c>
      <c r="D30" s="27">
        <v>811</v>
      </c>
      <c r="E30" s="27">
        <v>225</v>
      </c>
      <c r="F30" s="27">
        <v>1676</v>
      </c>
      <c r="G30" s="27">
        <v>3</v>
      </c>
      <c r="H30" s="27">
        <v>29</v>
      </c>
      <c r="I30" s="27">
        <v>180</v>
      </c>
      <c r="J30" s="27">
        <v>105</v>
      </c>
      <c r="K30" s="27">
        <v>4</v>
      </c>
      <c r="L30" s="27">
        <v>1</v>
      </c>
      <c r="M30" s="27">
        <v>106</v>
      </c>
      <c r="N30" s="27">
        <v>18</v>
      </c>
      <c r="O30" s="27">
        <v>67</v>
      </c>
      <c r="P30" s="27">
        <v>956</v>
      </c>
      <c r="Q30" s="27">
        <v>54</v>
      </c>
    </row>
    <row r="31" spans="2:26" hidden="1"/>
    <row r="32" spans="2:26" hidden="1"/>
    <row r="33" spans="1:17" hidden="1"/>
    <row r="34" spans="1:17" s="255" customFormat="1">
      <c r="A34" s="257" t="s">
        <v>184</v>
      </c>
      <c r="B34" s="257"/>
      <c r="C34" s="256"/>
      <c r="D34" s="256"/>
      <c r="E34" s="256"/>
      <c r="F34" s="256"/>
      <c r="G34" s="256"/>
      <c r="H34" s="256"/>
      <c r="I34" s="256"/>
    </row>
    <row r="35" spans="1:17" ht="15" customHeight="1"/>
    <row r="36" spans="1:17" s="36" customFormat="1" ht="30" customHeight="1">
      <c r="A36" s="343" t="s">
        <v>347</v>
      </c>
      <c r="B36" s="23" t="s">
        <v>332</v>
      </c>
      <c r="C36" s="23" t="s">
        <v>333</v>
      </c>
      <c r="D36" s="23" t="s">
        <v>143</v>
      </c>
      <c r="E36" s="23" t="s">
        <v>210</v>
      </c>
      <c r="F36" s="23" t="s">
        <v>334</v>
      </c>
      <c r="G36" s="23" t="s">
        <v>335</v>
      </c>
      <c r="H36" s="29" t="s">
        <v>343</v>
      </c>
      <c r="I36" s="23" t="s">
        <v>344</v>
      </c>
      <c r="J36" s="110" t="s">
        <v>338</v>
      </c>
      <c r="K36" s="110" t="s">
        <v>348</v>
      </c>
      <c r="M36" s="23" t="s">
        <v>139</v>
      </c>
      <c r="N36" s="23" t="s">
        <v>83</v>
      </c>
      <c r="O36" s="23" t="s">
        <v>193</v>
      </c>
      <c r="P36" s="23"/>
    </row>
    <row r="37" spans="1:17" ht="15" customHeight="1">
      <c r="A37" s="22">
        <v>2020</v>
      </c>
      <c r="B37" s="175">
        <v>158.9974</v>
      </c>
      <c r="C37" s="44">
        <v>13.7788</v>
      </c>
      <c r="D37" s="44">
        <v>142.01400000000001</v>
      </c>
      <c r="E37" s="44">
        <v>28.345199999999998</v>
      </c>
      <c r="F37" s="44"/>
      <c r="G37" s="44">
        <v>150.82509999999999</v>
      </c>
      <c r="H37" s="44"/>
      <c r="I37" s="44"/>
      <c r="J37" s="176">
        <f>SUM(B37:I37)</f>
        <v>493.96050000000002</v>
      </c>
      <c r="K37" s="175">
        <f>B37+C37+D37</f>
        <v>314.79020000000003</v>
      </c>
      <c r="M37" s="248">
        <v>111.0318</v>
      </c>
      <c r="N37" s="248">
        <v>27.692900000000002</v>
      </c>
      <c r="O37" s="248">
        <v>241.05250000000001</v>
      </c>
      <c r="P37" s="248"/>
      <c r="Q37" s="248">
        <f>SUM(M37:O37)</f>
        <v>379.77719999999999</v>
      </c>
    </row>
    <row r="38" spans="1:17" ht="15" customHeight="1">
      <c r="B38" s="175">
        <v>158.9974</v>
      </c>
      <c r="C38" s="44">
        <v>13.7788</v>
      </c>
      <c r="D38" s="177">
        <v>142.01400000000001</v>
      </c>
      <c r="E38" s="177">
        <v>28.345199999999998</v>
      </c>
      <c r="F38" s="177"/>
      <c r="G38" s="44">
        <v>150.82509999999999</v>
      </c>
      <c r="H38" s="44"/>
      <c r="I38" s="44"/>
      <c r="J38" s="176">
        <f>SUM(B38:I38)</f>
        <v>493.96050000000002</v>
      </c>
      <c r="K38" s="175">
        <f>B38+C38+D38</f>
        <v>314.79020000000003</v>
      </c>
      <c r="M38" s="248">
        <v>111.0318</v>
      </c>
      <c r="N38" s="248">
        <v>27.692900000000002</v>
      </c>
      <c r="O38" s="248">
        <v>241.05250000000001</v>
      </c>
      <c r="P38" s="248"/>
      <c r="Q38" s="248">
        <f>SUM(M38:O38)</f>
        <v>379.77719999999999</v>
      </c>
    </row>
    <row r="39" spans="1:17" ht="15" customHeight="1" thickBot="1">
      <c r="B39" s="44"/>
      <c r="C39" s="44"/>
      <c r="D39" s="177"/>
      <c r="E39" s="177"/>
      <c r="F39" s="177"/>
      <c r="G39" s="44"/>
      <c r="H39" s="44"/>
      <c r="I39" s="44"/>
      <c r="J39" s="176"/>
      <c r="K39" s="44"/>
      <c r="M39" s="248"/>
      <c r="N39" s="248"/>
      <c r="O39" s="248"/>
      <c r="P39" s="248"/>
      <c r="Q39" s="248"/>
    </row>
    <row r="40" spans="1:17" ht="15" customHeight="1">
      <c r="A40" s="22">
        <v>2030</v>
      </c>
      <c r="B40" s="40">
        <v>346.49160000000001</v>
      </c>
      <c r="C40" s="44">
        <v>37.9848</v>
      </c>
      <c r="D40" s="177">
        <v>882.45590000000004</v>
      </c>
      <c r="E40" s="177">
        <v>30.659300000000002</v>
      </c>
      <c r="F40" s="177"/>
      <c r="G40" s="44">
        <v>161.9512</v>
      </c>
      <c r="H40" s="44"/>
      <c r="I40" s="44"/>
      <c r="J40" s="176">
        <f>SUM(B40:I40)</f>
        <v>1459.5427999999999</v>
      </c>
      <c r="K40" s="175">
        <f>B40+C40+D40</f>
        <v>1266.9322999999999</v>
      </c>
      <c r="M40" s="248">
        <v>17.166599999999999</v>
      </c>
      <c r="N40" s="248">
        <v>5.5111999999999997</v>
      </c>
      <c r="O40" s="248">
        <v>146.393</v>
      </c>
      <c r="P40" s="248"/>
      <c r="Q40" s="248">
        <f>SUM(M40:O40)</f>
        <v>169.07079999999999</v>
      </c>
    </row>
    <row r="41" spans="1:17" ht="15" customHeight="1" thickBot="1">
      <c r="B41" s="41">
        <v>378.37310000000002</v>
      </c>
      <c r="C41" s="44">
        <v>43.152000000000001</v>
      </c>
      <c r="D41" s="177">
        <v>948.79859999999996</v>
      </c>
      <c r="E41" s="177">
        <v>30.968</v>
      </c>
      <c r="F41" s="177"/>
      <c r="G41" s="44">
        <v>163.10290000000001</v>
      </c>
      <c r="H41" s="44"/>
      <c r="I41" s="44"/>
      <c r="J41" s="176">
        <f>SUM(B41:I41)</f>
        <v>1564.3946000000001</v>
      </c>
      <c r="K41" s="175">
        <f>B41+C41+D41</f>
        <v>1370.3236999999999</v>
      </c>
      <c r="M41" s="248">
        <v>18.076000000000001</v>
      </c>
      <c r="N41" s="248">
        <v>5.5111999999999997</v>
      </c>
      <c r="O41" s="248">
        <v>174.345</v>
      </c>
      <c r="P41" s="248"/>
      <c r="Q41" s="248">
        <f>SUM(M41:O41)</f>
        <v>197.93219999999999</v>
      </c>
    </row>
    <row r="42" spans="1:17" ht="15" customHeight="1">
      <c r="B42" s="44"/>
      <c r="C42" s="44"/>
      <c r="D42" s="177"/>
      <c r="E42" s="177"/>
      <c r="F42" s="177"/>
      <c r="G42" s="44"/>
      <c r="H42" s="44"/>
      <c r="I42" s="44"/>
      <c r="J42" s="176"/>
      <c r="K42" s="44"/>
      <c r="M42" s="248"/>
      <c r="N42" s="248"/>
      <c r="O42" s="248"/>
      <c r="P42" s="248"/>
      <c r="Q42" s="248"/>
    </row>
    <row r="43" spans="1:17" ht="15" customHeight="1">
      <c r="A43" s="22">
        <v>2040</v>
      </c>
      <c r="B43" s="44">
        <v>609.56510000000003</v>
      </c>
      <c r="C43" s="44">
        <v>98.998099999999994</v>
      </c>
      <c r="D43" s="177">
        <v>1709.0186000000001</v>
      </c>
      <c r="E43" s="177">
        <v>25.9757</v>
      </c>
      <c r="F43" s="177"/>
      <c r="G43" s="44">
        <v>161.69749999999999</v>
      </c>
      <c r="H43" s="44"/>
      <c r="I43" s="44"/>
      <c r="J43" s="176">
        <f>SUM(B43:I43)</f>
        <v>2605.2550000000001</v>
      </c>
      <c r="K43" s="175">
        <f>B43+C43+D43</f>
        <v>2417.5817999999999</v>
      </c>
      <c r="M43" s="248">
        <v>2.4400000000000002E-2</v>
      </c>
      <c r="N43" s="248">
        <v>8.0000000000000004E-4</v>
      </c>
      <c r="O43" s="248">
        <v>20.5809</v>
      </c>
      <c r="P43" s="248"/>
      <c r="Q43" s="248">
        <f>SUM(M43:O43)</f>
        <v>20.606100000000001</v>
      </c>
    </row>
    <row r="44" spans="1:17" ht="15" customHeight="1">
      <c r="B44" s="44">
        <v>697.17359999999996</v>
      </c>
      <c r="C44" s="44">
        <v>118.6212</v>
      </c>
      <c r="D44" s="44">
        <v>2052.8969999999999</v>
      </c>
      <c r="E44" s="44">
        <v>26.4892</v>
      </c>
      <c r="F44" s="44"/>
      <c r="G44" s="44">
        <v>163.8648</v>
      </c>
      <c r="H44" s="44"/>
      <c r="I44" s="44"/>
      <c r="J44" s="176">
        <f>SUM(B44:I44)</f>
        <v>3059.0457999999999</v>
      </c>
      <c r="K44" s="175">
        <f>B44+C44+D44</f>
        <v>2868.6918000000001</v>
      </c>
      <c r="M44" s="248">
        <v>3.1199999999999999E-2</v>
      </c>
      <c r="N44" s="248">
        <v>8.0000000000000004E-4</v>
      </c>
      <c r="O44" s="248">
        <v>59.229399999999998</v>
      </c>
      <c r="P44" s="248"/>
      <c r="Q44" s="248">
        <f>SUM(M44:O44)</f>
        <v>59.261399999999995</v>
      </c>
    </row>
    <row r="45" spans="1:17" ht="15" customHeight="1">
      <c r="B45" s="44"/>
      <c r="C45" s="44"/>
      <c r="D45" s="44"/>
      <c r="E45" s="44"/>
      <c r="F45" s="44"/>
      <c r="G45" s="44"/>
      <c r="H45" s="44"/>
      <c r="I45" s="44"/>
      <c r="J45" s="176"/>
      <c r="K45" s="44"/>
      <c r="M45" s="248"/>
      <c r="N45" s="248"/>
      <c r="O45" s="248"/>
      <c r="P45" s="248"/>
      <c r="Q45" s="248"/>
    </row>
    <row r="46" spans="1:17" ht="15" customHeight="1">
      <c r="A46" s="22">
        <v>2050</v>
      </c>
      <c r="B46" s="44">
        <v>761.8972</v>
      </c>
      <c r="C46" s="44">
        <v>172.69909999999999</v>
      </c>
      <c r="D46" s="44">
        <v>1852.4342999999999</v>
      </c>
      <c r="E46" s="44">
        <v>16.183599999999998</v>
      </c>
      <c r="F46" s="44"/>
      <c r="G46" s="44">
        <v>156.38200000000001</v>
      </c>
      <c r="H46" s="44"/>
      <c r="I46" s="44"/>
      <c r="J46" s="176">
        <f t="shared" ref="J46:J47" si="10">SUM(B46:I46)</f>
        <v>2959.5962</v>
      </c>
      <c r="K46" s="175">
        <f>B46+C46+D46</f>
        <v>2787.0306</v>
      </c>
      <c r="M46" s="248">
        <v>1.17E-2</v>
      </c>
      <c r="N46" s="248">
        <v>8.0000000000000004E-4</v>
      </c>
      <c r="O46" s="248">
        <v>1.3718999999999999</v>
      </c>
      <c r="P46" s="248"/>
      <c r="Q46" s="248">
        <f>SUM(M46:O46)</f>
        <v>1.3843999999999999</v>
      </c>
    </row>
    <row r="47" spans="1:17" ht="15" customHeight="1">
      <c r="B47" s="44">
        <v>920.77179999999998</v>
      </c>
      <c r="C47" s="44">
        <v>205.613</v>
      </c>
      <c r="D47" s="44">
        <v>2361.7237</v>
      </c>
      <c r="E47" s="44">
        <v>16.691700000000001</v>
      </c>
      <c r="F47" s="44"/>
      <c r="G47" s="44">
        <v>158.38239999999999</v>
      </c>
      <c r="H47" s="44"/>
      <c r="I47" s="44"/>
      <c r="J47" s="176">
        <f t="shared" si="10"/>
        <v>3663.1826000000001</v>
      </c>
      <c r="K47" s="175">
        <f>B47+C47+D47</f>
        <v>3488.1085000000003</v>
      </c>
      <c r="M47" s="248">
        <v>1.49E-2</v>
      </c>
      <c r="N47" s="248">
        <v>8.0000000000000004E-4</v>
      </c>
      <c r="O47" s="248">
        <v>8.8419000000000008</v>
      </c>
      <c r="P47" s="248"/>
      <c r="Q47" s="248">
        <f>SUM(M47:O47)</f>
        <v>8.8576000000000015</v>
      </c>
    </row>
    <row r="48" spans="1:17" ht="15" customHeight="1"/>
    <row r="50" spans="1:13" s="111" customFormat="1">
      <c r="A50" s="113" t="s">
        <v>188</v>
      </c>
      <c r="B50" s="113"/>
      <c r="C50" s="112"/>
      <c r="D50" s="112"/>
      <c r="E50" s="112"/>
      <c r="F50" s="112"/>
      <c r="G50" s="112"/>
      <c r="H50" s="112"/>
      <c r="I50" s="112"/>
    </row>
    <row r="51" spans="1:13" customFormat="1" ht="15" customHeight="1">
      <c r="H51" s="178"/>
      <c r="I51" s="178"/>
      <c r="J51" s="178"/>
      <c r="K51" s="178"/>
      <c r="L51" s="178"/>
      <c r="M51" s="179"/>
    </row>
    <row r="52" spans="1:13" customFormat="1" ht="15" customHeight="1">
      <c r="A52" s="15" t="s">
        <v>349</v>
      </c>
      <c r="H52" s="178"/>
      <c r="I52" s="178"/>
      <c r="J52" s="178"/>
      <c r="K52" s="178"/>
      <c r="L52" s="178"/>
      <c r="M52" s="179"/>
    </row>
    <row r="53" spans="1:13" customFormat="1" ht="15" customHeight="1">
      <c r="A53" s="180"/>
      <c r="B53" s="180"/>
      <c r="C53" s="180" t="s">
        <v>350</v>
      </c>
      <c r="D53" s="180" t="s">
        <v>86</v>
      </c>
      <c r="E53" s="180" t="s">
        <v>141</v>
      </c>
      <c r="F53" s="180" t="s">
        <v>148</v>
      </c>
      <c r="H53" s="101"/>
      <c r="I53" s="101"/>
      <c r="J53" s="101"/>
      <c r="K53" s="101"/>
    </row>
    <row r="54" spans="1:13" customFormat="1" ht="15" customHeight="1">
      <c r="A54" s="180">
        <v>2015</v>
      </c>
      <c r="B54" s="180"/>
      <c r="C54" s="181">
        <v>385.03799698462223</v>
      </c>
      <c r="D54" s="181">
        <v>0</v>
      </c>
      <c r="E54" s="181">
        <v>112.14672</v>
      </c>
      <c r="F54" s="181">
        <v>370.79714000525797</v>
      </c>
    </row>
    <row r="55" spans="1:13" customFormat="1" ht="15" customHeight="1">
      <c r="A55" s="180">
        <v>2020</v>
      </c>
      <c r="B55" s="180"/>
      <c r="C55" s="181">
        <v>346.80478915874858</v>
      </c>
      <c r="D55" s="181">
        <v>0</v>
      </c>
      <c r="E55" s="181">
        <v>107.4575</v>
      </c>
      <c r="F55" s="181">
        <v>477.50644444999989</v>
      </c>
    </row>
    <row r="56" spans="1:13" customFormat="1" ht="15" customHeight="1">
      <c r="A56" s="180">
        <v>2030</v>
      </c>
      <c r="B56" s="180"/>
      <c r="C56" s="181">
        <v>238.47820617530411</v>
      </c>
      <c r="D56" s="181">
        <v>0</v>
      </c>
      <c r="E56" s="181">
        <v>93.607199999999992</v>
      </c>
      <c r="F56" s="181">
        <v>1285.2275854796289</v>
      </c>
    </row>
    <row r="57" spans="1:13" customFormat="1" ht="15" customHeight="1">
      <c r="A57" s="180">
        <v>2040</v>
      </c>
      <c r="B57" s="180" t="s">
        <v>198</v>
      </c>
      <c r="C57" s="181">
        <v>171.71186052171629</v>
      </c>
      <c r="D57" s="181">
        <v>0</v>
      </c>
      <c r="E57" s="181">
        <v>70.649400000000014</v>
      </c>
      <c r="F57" s="181">
        <v>1939.0904388293779</v>
      </c>
    </row>
    <row r="58" spans="1:13" customFormat="1" ht="15" customHeight="1">
      <c r="A58" s="180"/>
      <c r="B58" s="180" t="s">
        <v>199</v>
      </c>
      <c r="C58" s="181">
        <v>163.84159823228941</v>
      </c>
      <c r="D58" s="181">
        <v>0</v>
      </c>
      <c r="E58" s="181">
        <v>70.649400000000014</v>
      </c>
      <c r="F58" s="181">
        <v>2142.35733187198</v>
      </c>
    </row>
    <row r="59" spans="1:13" customFormat="1" ht="15" customHeight="1">
      <c r="A59" s="180"/>
      <c r="B59" s="180" t="s">
        <v>200</v>
      </c>
      <c r="C59" s="181">
        <v>156.41479784205791</v>
      </c>
      <c r="D59" s="181">
        <v>0</v>
      </c>
      <c r="E59" s="181">
        <v>70.649400000000014</v>
      </c>
      <c r="F59" s="181">
        <v>2297.8542870393708</v>
      </c>
    </row>
    <row r="60" spans="1:13" customFormat="1" ht="15" customHeight="1">
      <c r="A60" s="180"/>
      <c r="B60" s="180" t="s">
        <v>201</v>
      </c>
      <c r="C60" s="181">
        <v>157.40506163285369</v>
      </c>
      <c r="D60" s="181">
        <v>0</v>
      </c>
      <c r="E60" s="181">
        <v>70.649500000000003</v>
      </c>
      <c r="F60" s="181">
        <v>2100.3897036259041</v>
      </c>
    </row>
    <row r="61" spans="1:13" customFormat="1" ht="15" customHeight="1">
      <c r="A61" s="180">
        <v>2050</v>
      </c>
      <c r="B61" s="180" t="s">
        <v>198</v>
      </c>
      <c r="C61" s="181">
        <v>142.70175688871069</v>
      </c>
      <c r="D61" s="181">
        <v>0</v>
      </c>
      <c r="E61" s="181">
        <v>70.543199999999999</v>
      </c>
      <c r="F61" s="181">
        <v>3047.6665718938798</v>
      </c>
    </row>
    <row r="62" spans="1:13" customFormat="1" ht="15" customHeight="1">
      <c r="A62" s="180"/>
      <c r="B62" s="180" t="s">
        <v>199</v>
      </c>
      <c r="C62" s="181">
        <v>143.71510168653569</v>
      </c>
      <c r="D62" s="181">
        <v>0</v>
      </c>
      <c r="E62" s="181">
        <v>70.543199999999999</v>
      </c>
      <c r="F62" s="181">
        <v>3042.1857051307102</v>
      </c>
    </row>
    <row r="63" spans="1:13" customFormat="1" ht="15" customHeight="1">
      <c r="A63" s="180"/>
      <c r="B63" s="180" t="s">
        <v>200</v>
      </c>
      <c r="C63" s="181">
        <v>141.9440526330313</v>
      </c>
      <c r="D63" s="181">
        <v>0</v>
      </c>
      <c r="E63" s="181">
        <v>70.543199999999999</v>
      </c>
      <c r="F63" s="181">
        <v>3026.6318146007961</v>
      </c>
    </row>
    <row r="64" spans="1:13" customFormat="1" ht="15" customHeight="1">
      <c r="A64" s="180"/>
      <c r="B64" s="180" t="s">
        <v>201</v>
      </c>
      <c r="C64" s="181">
        <v>143.25184979052639</v>
      </c>
      <c r="D64" s="181">
        <v>0</v>
      </c>
      <c r="E64" s="181">
        <v>70.543300000000002</v>
      </c>
      <c r="F64" s="181">
        <v>2762.838560780649</v>
      </c>
    </row>
    <row r="65" spans="1:10" customFormat="1" ht="15" customHeight="1"/>
    <row r="66" spans="1:10" customFormat="1" ht="15" customHeight="1">
      <c r="A66" s="420" t="s">
        <v>204</v>
      </c>
    </row>
    <row r="67" spans="1:10" customFormat="1" ht="15" customHeight="1"/>
    <row r="68" spans="1:10" customFormat="1" ht="15" customHeight="1"/>
    <row r="69" spans="1:10" customFormat="1" ht="15" customHeight="1">
      <c r="I69" s="115"/>
      <c r="J69" s="115"/>
    </row>
    <row r="70" spans="1:10" customFormat="1" ht="15" customHeight="1">
      <c r="I70" s="115"/>
      <c r="J70" s="115"/>
    </row>
    <row r="71" spans="1:10" customFormat="1" ht="15" customHeight="1">
      <c r="I71" s="182"/>
      <c r="J71" s="182"/>
    </row>
    <row r="72" spans="1:10" customFormat="1" ht="15" customHeight="1">
      <c r="I72" s="183"/>
      <c r="J72" s="183"/>
    </row>
    <row r="73" spans="1:10" customFormat="1" ht="15" customHeight="1">
      <c r="I73" s="183"/>
      <c r="J73" s="183"/>
    </row>
    <row r="74" spans="1:10" customFormat="1" ht="15" customHeight="1"/>
    <row r="75" spans="1:10" customFormat="1" ht="15" customHeight="1"/>
    <row r="76" spans="1:10" customFormat="1" ht="15" customHeight="1">
      <c r="I76" s="115"/>
    </row>
    <row r="77" spans="1:10" customFormat="1" ht="15" customHeight="1">
      <c r="I77" s="115"/>
    </row>
    <row r="78" spans="1:10" customFormat="1" ht="15" customHeight="1"/>
    <row r="79" spans="1:10" customFormat="1" ht="15" customHeight="1"/>
    <row r="80" spans="1:10" customFormat="1" ht="15" customHeight="1">
      <c r="A80" s="22"/>
    </row>
    <row r="81" customFormat="1" ht="15" customHeight="1"/>
  </sheetData>
  <mergeCells count="9">
    <mergeCell ref="B29:B30"/>
    <mergeCell ref="B6:B7"/>
    <mergeCell ref="B8:B9"/>
    <mergeCell ref="B10:B11"/>
    <mergeCell ref="S15:S16"/>
    <mergeCell ref="S17:S18"/>
    <mergeCell ref="S19:S20"/>
    <mergeCell ref="B25:B26"/>
    <mergeCell ref="B27:B28"/>
  </mergeCells>
  <pageMargins left="0.7" right="0.7" top="0.75" bottom="0.75" header="0.3" footer="0.3"/>
  <pageSetup paperSize="0" orientation="portrait" r:id="rId1"/>
  <headerFooter>
    <oddFooter>&amp;C_x000D_&amp;1#&amp;"Calibri"&amp;10&amp;K000000 Intern/Internal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5c3dee-86fc-48e7-8465-c4c61dfed254"/>
    <lcf76f155ced4ddcb4097134ff3c332f xmlns="0c5f8226-4642-4dc5-97c9-586bbdfcfa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4356B3D6027F43A28AF85D49129C07" ma:contentTypeVersion="18" ma:contentTypeDescription="Create a new document." ma:contentTypeScope="" ma:versionID="3e4d999aedf7f0c8d30708daf58752ac">
  <xsd:schema xmlns:xsd="http://www.w3.org/2001/XMLSchema" xmlns:xs="http://www.w3.org/2001/XMLSchema" xmlns:p="http://schemas.microsoft.com/office/2006/metadata/properties" xmlns:ns2="0c5f8226-4642-4dc5-97c9-586bbdfcfa3f" xmlns:ns3="985c3dee-86fc-48e7-8465-c4c61dfed254" targetNamespace="http://schemas.microsoft.com/office/2006/metadata/properties" ma:root="true" ma:fieldsID="78d712ab9e480286203ccc5d884fa873" ns2:_="" ns3:_="">
    <xsd:import namespace="0c5f8226-4642-4dc5-97c9-586bbdfcfa3f"/>
    <xsd:import namespace="985c3dee-86fc-48e7-8465-c4c61dfed2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f8226-4642-4dc5-97c9-586bbdfcf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c3dee-86fc-48e7-8465-c4c61dfed25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2a7e3f5-463d-460c-8029-5baeb28e58db}" ma:internalName="TaxCatchAll" ma:showField="CatchAllData" ma:web="985c3dee-86fc-48e7-8465-c4c61dfed2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5F8AC-F643-4D7A-A13E-D9F974593793}"/>
</file>

<file path=customXml/itemProps2.xml><?xml version="1.0" encoding="utf-8"?>
<ds:datastoreItem xmlns:ds="http://schemas.openxmlformats.org/officeDocument/2006/customXml" ds:itemID="{412C78C3-3BD3-4A98-93B3-F73E95DB7395}"/>
</file>

<file path=customXml/itemProps3.xml><?xml version="1.0" encoding="utf-8"?>
<ds:datastoreItem xmlns:ds="http://schemas.openxmlformats.org/officeDocument/2006/customXml" ds:itemID="{09C3EE8E-F4ED-4916-8567-8089517FAE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Ciaran Maguire</dc:creator>
  <cp:keywords/>
  <dc:description/>
  <cp:lastModifiedBy/>
  <cp:revision/>
  <dcterms:created xsi:type="dcterms:W3CDTF">2024-05-24T07:44:21Z</dcterms:created>
  <dcterms:modified xsi:type="dcterms:W3CDTF">2024-07-10T14:41:54Z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0x0101005E4356B3D6027F43A28AF85D49129C07</vt:lpwstr>
  </property>
  <property fmtid="{D5CDD505-2E9C-101B-9397-08002B2CF9AE}" pid="3" name="MediaServiceImageTags">
    <vt:lpwstr/>
  </property>
</Properties>
</file>